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Febrero\"/>
    </mc:Choice>
  </mc:AlternateContent>
  <bookViews>
    <workbookView xWindow="0" yWindow="0" windowWidth="28800" windowHeight="11700"/>
  </bookViews>
  <sheets>
    <sheet name="CUA8" sheetId="1" r:id="rId1"/>
  </sheets>
  <externalReferences>
    <externalReference r:id="rId2"/>
  </externalReferences>
  <definedNames>
    <definedName name="_xlnm.Print_Area" localSheetId="0">'CUA8'!$A$1:$F$28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D23" i="1"/>
  <c r="D11" i="1"/>
  <c r="C20" i="1"/>
  <c r="C14" i="1"/>
  <c r="D19" i="1"/>
  <c r="C10" i="1"/>
  <c r="D12" i="1"/>
  <c r="C24" i="1"/>
  <c r="D20" i="1"/>
  <c r="D14" i="1"/>
  <c r="C23" i="1"/>
  <c r="C11" i="1"/>
  <c r="D22" i="1"/>
  <c r="D10" i="1"/>
  <c r="C22" i="1"/>
  <c r="D18" i="1"/>
  <c r="C18" i="1"/>
  <c r="D13" i="1"/>
  <c r="C19" i="1"/>
  <c r="D15" i="1"/>
  <c r="C12" i="1"/>
  <c r="D25" i="1"/>
  <c r="C25" i="1"/>
  <c r="C13" i="1"/>
  <c r="D24" i="1"/>
  <c r="D9" i="1"/>
  <c r="C15" i="1"/>
  <c r="C9" i="1"/>
  <c r="C8" i="1" l="1"/>
  <c r="F8" i="1" s="1"/>
  <c r="F9" i="1"/>
  <c r="E9" i="1"/>
  <c r="F15" i="1"/>
  <c r="E15" i="1"/>
  <c r="D8" i="1"/>
  <c r="F13" i="1"/>
  <c r="E13" i="1"/>
  <c r="F25" i="1"/>
  <c r="E25" i="1"/>
  <c r="D26" i="1"/>
  <c r="D27" i="1"/>
  <c r="F12" i="1"/>
  <c r="E12" i="1"/>
  <c r="F19" i="1"/>
  <c r="E19" i="1"/>
  <c r="E18" i="1"/>
  <c r="F18" i="1"/>
  <c r="F22" i="1"/>
  <c r="C21" i="1"/>
  <c r="E22" i="1"/>
  <c r="D21" i="1"/>
  <c r="D16" i="1" s="1"/>
  <c r="F11" i="1"/>
  <c r="E11" i="1"/>
  <c r="F23" i="1"/>
  <c r="E23" i="1"/>
  <c r="D17" i="1"/>
  <c r="F24" i="1"/>
  <c r="E24" i="1"/>
  <c r="F10" i="1"/>
  <c r="E10" i="1"/>
  <c r="F14" i="1"/>
  <c r="E14" i="1"/>
  <c r="F20" i="1"/>
  <c r="E20" i="1"/>
  <c r="C17" i="1"/>
  <c r="F17" i="1" l="1"/>
  <c r="E17" i="1"/>
  <c r="E21" i="1"/>
  <c r="C27" i="1"/>
  <c r="F27" i="1" s="1"/>
  <c r="E8" i="1"/>
  <c r="C16" i="1"/>
  <c r="F21" i="1"/>
  <c r="F16" i="1" l="1"/>
  <c r="E16" i="1"/>
  <c r="C26" i="1"/>
  <c r="F26" i="1" s="1"/>
  <c r="E26" i="1"/>
  <c r="E27" i="1"/>
</calcChain>
</file>

<file path=xl/sharedStrings.xml><?xml version="1.0" encoding="utf-8"?>
<sst xmlns="http://schemas.openxmlformats.org/spreadsheetml/2006/main" count="39" uniqueCount="36">
  <si>
    <t>CUADRO No. 8</t>
  </si>
  <si>
    <t>Rezago presupuestal del Presupuesto General de la Nación de 2019 ejecutado en 2020</t>
  </si>
  <si>
    <t>Miles de millones de pesos corrientes</t>
  </si>
  <si>
    <t>Concepto</t>
  </si>
  <si>
    <t>Rezago</t>
  </si>
  <si>
    <t>Pago</t>
  </si>
  <si>
    <t>Rezago 
por pagar</t>
  </si>
  <si>
    <t>Ejecución %</t>
  </si>
  <si>
    <t>Pago/Rezago</t>
  </si>
  <si>
    <t>(1)</t>
  </si>
  <si>
    <t>(2)</t>
  </si>
  <si>
    <t>(3)=(1-2)</t>
  </si>
  <si>
    <t>(4)=(2/1)</t>
  </si>
  <si>
    <t>I.</t>
  </si>
  <si>
    <t>FUNCIONAMIENTO</t>
  </si>
  <si>
    <t>Gastos de Personal</t>
  </si>
  <si>
    <t>Adquisiciones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</si>
  <si>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</si>
  <si>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</si>
  <si>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</si>
  <si>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</si>
  <si>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</si>
  <si>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</si>
  <si>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</si>
  <si>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</si>
  <si>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</si>
  <si>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</si>
  <si>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</si>
  <si>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</si>
  <si>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III.</t>
  </si>
  <si>
    <t>INVERSION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</si>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</sst>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  <numFmt numFmtId="166" formatCode="_(* #,##0.00_);_(* \(#,##0.00\);_(* &quot;-&quot;??_);_(@_)"/>
    <numFmt numFmtId="167" formatCode="_-* #,##0.0_-;\-* #,##0.0_-;_-* &quot;-&quot;_-;_-@_-"/>
    <numFmt numFmtId="168" formatCode="_-* #,##0.0_-;\-* #,##0.0_-;_-* &quot;-&quot;?_-;_-@_-"/>
    <numFmt numFmtId="169" formatCode="[$-240A]d&quot; de &quot;mmmm&quot; de &quot;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7" fillId="0" borderId="0"/>
  </cellStyleXfs>
  <cellXfs count="40">
    <xf numFmtId="0" fontId="0" fillId="0" borderId="0" xfId="0"/>
    <xf numFmtId="164" fontId="2" fillId="0" borderId="0" xfId="1" applyNumberFormat="1" applyFont="1" applyFill="1" applyBorder="1" applyAlignment="1" applyProtection="1">
      <alignment horizontal="center"/>
    </xf>
    <xf numFmtId="0" fontId="3" fillId="0" borderId="0" xfId="0" applyFont="1"/>
    <xf numFmtId="164" fontId="4" fillId="0" borderId="0" xfId="1" applyNumberFormat="1" applyFont="1" applyFill="1" applyBorder="1" applyAlignment="1" applyProtection="1">
      <alignment horizontal="center"/>
    </xf>
    <xf numFmtId="164" fontId="5" fillId="2" borderId="0" xfId="1" applyNumberFormat="1" applyFont="1" applyFill="1" applyBorder="1"/>
    <xf numFmtId="164" fontId="6" fillId="2" borderId="0" xfId="1" applyNumberFormat="1" applyFont="1" applyFill="1" applyBorder="1" applyAlignment="1" applyProtection="1">
      <alignment horizontal="left" vertical="top"/>
    </xf>
    <xf numFmtId="165" fontId="6" fillId="2" borderId="0" xfId="1" applyNumberFormat="1" applyFont="1" applyFill="1" applyBorder="1" applyAlignment="1" applyProtection="1">
      <alignment horizontal="center" vertical="top"/>
    </xf>
    <xf numFmtId="164" fontId="6" fillId="2" borderId="0" xfId="1" applyNumberFormat="1" applyFont="1" applyFill="1" applyBorder="1" applyAlignment="1" applyProtection="1">
      <alignment horizontal="center" vertical="top" wrapText="1"/>
    </xf>
    <xf numFmtId="164" fontId="6" fillId="2" borderId="0" xfId="1" applyNumberFormat="1" applyFont="1" applyFill="1" applyBorder="1" applyAlignment="1" applyProtection="1">
      <alignment horizontal="center"/>
    </xf>
    <xf numFmtId="165" fontId="6" fillId="2" borderId="0" xfId="1" quotePrefix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 applyProtection="1">
      <alignment horizontal="center"/>
    </xf>
    <xf numFmtId="164" fontId="6" fillId="2" borderId="0" xfId="1" quotePrefix="1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41" fontId="2" fillId="3" borderId="0" xfId="2" applyFont="1" applyFill="1" applyBorder="1"/>
    <xf numFmtId="164" fontId="4" fillId="0" borderId="0" xfId="1" applyNumberFormat="1" applyFont="1" applyFill="1" applyBorder="1"/>
    <xf numFmtId="164" fontId="4" fillId="0" borderId="0" xfId="3" applyNumberFormat="1" applyFont="1" applyFill="1" applyBorder="1"/>
    <xf numFmtId="41" fontId="4" fillId="0" borderId="0" xfId="2" applyFont="1" applyFill="1" applyBorder="1"/>
    <xf numFmtId="164" fontId="4" fillId="0" borderId="0" xfId="1" applyNumberFormat="1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top" wrapText="1"/>
    </xf>
    <xf numFmtId="41" fontId="4" fillId="0" borderId="0" xfId="2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0" fontId="3" fillId="0" borderId="0" xfId="0" applyFont="1" applyAlignment="1">
      <alignment vertical="center"/>
    </xf>
    <xf numFmtId="164" fontId="2" fillId="0" borderId="0" xfId="3" applyNumberFormat="1" applyFont="1" applyFill="1" applyBorder="1"/>
    <xf numFmtId="41" fontId="2" fillId="0" borderId="0" xfId="2" applyFont="1" applyFill="1" applyBorder="1"/>
    <xf numFmtId="164" fontId="2" fillId="0" borderId="0" xfId="1" applyNumberFormat="1" applyFont="1" applyFill="1" applyBorder="1"/>
    <xf numFmtId="164" fontId="4" fillId="0" borderId="0" xfId="3" applyNumberFormat="1" applyFont="1" applyFill="1" applyBorder="1" applyAlignment="1">
      <alignment horizontal="left" indent="1"/>
    </xf>
    <xf numFmtId="41" fontId="2" fillId="0" borderId="0" xfId="2" applyFont="1" applyFill="1" applyBorder="1" applyAlignment="1">
      <alignment horizontal="right"/>
    </xf>
    <xf numFmtId="41" fontId="4" fillId="0" borderId="0" xfId="2" applyFont="1" applyFill="1" applyBorder="1" applyAlignment="1">
      <alignment horizontal="right"/>
    </xf>
    <xf numFmtId="167" fontId="4" fillId="0" borderId="0" xfId="2" applyNumberFormat="1" applyFont="1" applyFill="1" applyBorder="1"/>
    <xf numFmtId="167" fontId="4" fillId="0" borderId="0" xfId="2" applyNumberFormat="1" applyFont="1" applyFill="1" applyBorder="1" applyAlignment="1">
      <alignment vertical="top"/>
    </xf>
    <xf numFmtId="164" fontId="6" fillId="2" borderId="1" xfId="1" applyNumberFormat="1" applyFont="1" applyFill="1" applyBorder="1"/>
    <xf numFmtId="41" fontId="6" fillId="2" borderId="1" xfId="2" applyFont="1" applyFill="1" applyBorder="1"/>
    <xf numFmtId="168" fontId="3" fillId="0" borderId="0" xfId="0" applyNumberFormat="1" applyFont="1"/>
    <xf numFmtId="164" fontId="6" fillId="2" borderId="0" xfId="1" applyNumberFormat="1" applyFont="1" applyFill="1" applyBorder="1"/>
    <xf numFmtId="41" fontId="6" fillId="2" borderId="0" xfId="2" applyFont="1" applyFill="1" applyBorder="1"/>
    <xf numFmtId="0" fontId="8" fillId="0" borderId="0" xfId="0" applyFont="1"/>
    <xf numFmtId="169" fontId="4" fillId="0" borderId="0" xfId="4" applyNumberFormat="1" applyFont="1" applyFill="1" applyBorder="1" applyAlignment="1" applyProtection="1">
      <alignment horizontal="left" shrinkToFit="1"/>
    </xf>
    <xf numFmtId="165" fontId="4" fillId="0" borderId="0" xfId="1" applyNumberFormat="1" applyFont="1" applyFill="1" applyBorder="1"/>
    <xf numFmtId="164" fontId="4" fillId="0" borderId="0" xfId="1" applyNumberFormat="1" applyFont="1" applyFill="1"/>
    <xf numFmtId="165" fontId="3" fillId="0" borderId="0" xfId="0" applyNumberFormat="1" applyFont="1"/>
  </cellXfs>
  <cellStyles count="5">
    <cellStyle name="Millares" xfId="1" builtinId="3"/>
    <cellStyle name="Millares [0]" xfId="2" builtinId="6"/>
    <cellStyle name="Millares 2 4 2" xfId="3"/>
    <cellStyle name="Millares_CIFRAS PAGINA WEB 1995 - 200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>
        <row r="3">
          <cell r="A3" t="str">
            <v>Acumulada a febrero de 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Etiquetas de fila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</sheetPr>
  <dimension ref="A1:G31"/>
  <sheetViews>
    <sheetView showGridLines="0" tabSelected="1" workbookViewId="0">
      <selection sqref="A1:F28"/>
    </sheetView>
  </sheetViews>
  <sheetFormatPr baseColWidth="10" defaultColWidth="11.42578125" defaultRowHeight="11.25" x14ac:dyDescent="0.2"/>
  <cols>
    <col min="1" max="1" width="3.5703125" style="2" customWidth="1"/>
    <col min="2" max="2" width="32" style="2" customWidth="1"/>
    <col min="3" max="3" width="10" style="2" customWidth="1"/>
    <col min="4" max="4" width="13.7109375" style="2" bestFit="1" customWidth="1"/>
    <col min="5" max="5" width="8.5703125" style="2" bestFit="1" customWidth="1"/>
    <col min="6" max="6" width="12.140625" style="2" bestFit="1" customWidth="1"/>
    <col min="7" max="16374" width="11.42578125" style="2" customWidth="1"/>
    <col min="16375" max="16375" width="16.5703125" style="2" customWidth="1"/>
    <col min="16376" max="16380" width="11.42578125" style="2"/>
    <col min="16381" max="16381" width="16.5703125" style="2" customWidth="1"/>
    <col min="16382" max="16384" width="11.42578125" style="2"/>
  </cols>
  <sheetData>
    <row r="1" spans="1:6" ht="11.25" customHeight="1" x14ac:dyDescent="0.2">
      <c r="A1" s="1" t="s">
        <v>0</v>
      </c>
      <c r="B1" s="1"/>
      <c r="C1" s="1"/>
      <c r="D1" s="1"/>
      <c r="E1" s="1"/>
      <c r="F1" s="1"/>
    </row>
    <row r="2" spans="1:6" ht="12.75" customHeight="1" x14ac:dyDescent="0.2">
      <c r="A2" s="1" t="s">
        <v>1</v>
      </c>
      <c r="B2" s="1"/>
      <c r="C2" s="1"/>
      <c r="D2" s="1"/>
      <c r="E2" s="1"/>
      <c r="F2" s="1"/>
    </row>
    <row r="3" spans="1:6" ht="11.25" customHeight="1" x14ac:dyDescent="0.2">
      <c r="A3" s="1" t="str">
        <f>+[1]CUA1!A3:L3</f>
        <v>Acumulada a febrero de 2020</v>
      </c>
      <c r="B3" s="1"/>
      <c r="C3" s="1"/>
      <c r="D3" s="1"/>
      <c r="E3" s="1"/>
      <c r="F3" s="1"/>
    </row>
    <row r="4" spans="1:6" ht="12.75" customHeight="1" x14ac:dyDescent="0.2">
      <c r="A4" s="3" t="s">
        <v>2</v>
      </c>
      <c r="B4" s="3"/>
      <c r="C4" s="3"/>
      <c r="D4" s="3"/>
      <c r="E4" s="3"/>
      <c r="F4" s="3"/>
    </row>
    <row r="5" spans="1:6" ht="11.45" customHeight="1" x14ac:dyDescent="0.2">
      <c r="A5" s="4"/>
      <c r="B5" s="5" t="s">
        <v>3</v>
      </c>
      <c r="C5" s="6" t="s">
        <v>4</v>
      </c>
      <c r="D5" s="6" t="s">
        <v>5</v>
      </c>
      <c r="E5" s="7" t="s">
        <v>6</v>
      </c>
      <c r="F5" s="8" t="s">
        <v>7</v>
      </c>
    </row>
    <row r="6" spans="1:6" ht="11.25" customHeight="1" x14ac:dyDescent="0.2">
      <c r="A6" s="4"/>
      <c r="B6" s="5"/>
      <c r="C6" s="6"/>
      <c r="D6" s="6"/>
      <c r="E6" s="7"/>
      <c r="F6" s="8" t="s">
        <v>8</v>
      </c>
    </row>
    <row r="7" spans="1:6" ht="11.25" customHeight="1" x14ac:dyDescent="0.2">
      <c r="A7" s="4"/>
      <c r="B7" s="8"/>
      <c r="C7" s="9" t="s">
        <v>9</v>
      </c>
      <c r="D7" s="9" t="s">
        <v>10</v>
      </c>
      <c r="E7" s="10" t="s">
        <v>11</v>
      </c>
      <c r="F7" s="11" t="s">
        <v>12</v>
      </c>
    </row>
    <row r="8" spans="1:6" ht="11.25" customHeight="1" x14ac:dyDescent="0.2">
      <c r="A8" s="12" t="s">
        <v>13</v>
      </c>
      <c r="B8" s="12" t="s">
        <v>14</v>
      </c>
      <c r="C8" s="13">
        <f>SUM(C9:C15)</f>
        <v>8012.0029214248098</v>
      </c>
      <c r="D8" s="13">
        <f>SUM(D9:D15)</f>
        <v>3542.6868467834911</v>
      </c>
      <c r="E8" s="13">
        <f>SUM(E9:E15)</f>
        <v>4469.3160746413187</v>
      </c>
      <c r="F8" s="12">
        <f t="shared" ref="F8:F24" si="0">IFERROR(IF(C8&gt;0,+(D8/C8)*100,0),0)</f>
        <v>44.217243572266192</v>
      </c>
    </row>
    <row r="9" spans="1:6" ht="11.25" customHeight="1" x14ac:dyDescent="0.2">
      <c r="A9" s="14"/>
      <c r="B9" s="15" t="s">
        <v>15</v>
      </c>
      <c r="C9" s="16">
        <f>+GETPIVOTDATA("Suma de Apropiación vigencias",'[1]CUA8.TD'!$A$10,"Tipo","1Funcionamiento","Cuentas","A-Gastos de Personal")/1000000000</f>
        <v>296.87384616123012</v>
      </c>
      <c r="D9" s="16">
        <f>+GETPIVOTDATA("Suma de Pago",'[1]CUA8.TD'!$A$10,"Tipo","1Funcionamiento","Cuentas","A-Gastos de Personal")/1000000000</f>
        <v>277.29166359374</v>
      </c>
      <c r="E9" s="16">
        <f>+C9-D9</f>
        <v>19.582182567490122</v>
      </c>
      <c r="F9" s="14">
        <f t="shared" si="0"/>
        <v>93.403870761705576</v>
      </c>
    </row>
    <row r="10" spans="1:6" ht="11.45" customHeight="1" x14ac:dyDescent="0.2">
      <c r="A10" s="14"/>
      <c r="B10" s="15" t="s">
        <v>16</v>
      </c>
      <c r="C10" s="16">
        <f>+GETPIVOTDATA("Suma de Apropiación vigencias",'[1]CUA8.TD'!$A$10,"Tipo","1Funcionamiento","Cuentas","B-Adquisiciones de Bienes y Servicios")/1000000000</f>
        <v>1026.6124990572662</v>
      </c>
      <c r="D10" s="16">
        <f>+GETPIVOTDATA("Suma de Pago",'[1]CUA8.TD'!$A$10,"Tipo","1Funcionamiento","Cuentas","B-Adquisiciones de Bienes y Servicios")/1000000000</f>
        <v>675.48659606201977</v>
      </c>
      <c r="E10" s="16">
        <f t="shared" ref="E10:E15" si="1">(+C10-D10)</f>
        <v>351.12590299524641</v>
      </c>
      <c r="F10" s="14">
        <f t="shared" si="0"/>
        <v>65.797620492865235</v>
      </c>
    </row>
    <row r="11" spans="1:6" ht="11.45" customHeight="1" x14ac:dyDescent="0.2">
      <c r="A11" s="14"/>
      <c r="B11" s="15" t="s">
        <v>17</v>
      </c>
      <c r="C11" s="16">
        <f>+GETPIVOTDATA("Suma de Apropiación vigencias",'[1]CUA8.TD'!$A$10,"Tipo","1Funcionamiento","Cuentas","C-Transferencias")/1000000000</f>
        <v>6423.1063515329934</v>
      </c>
      <c r="D11" s="16">
        <f>+GETPIVOTDATA("Suma de Pago",'[1]CUA8.TD'!$A$10,"Tipo","1Funcionamiento","Cuentas","C-Transferencias")/1000000000</f>
        <v>2399.2844438874909</v>
      </c>
      <c r="E11" s="16">
        <f t="shared" si="1"/>
        <v>4023.8219076455025</v>
      </c>
      <c r="F11" s="14">
        <f t="shared" si="0"/>
        <v>37.353957922786954</v>
      </c>
    </row>
    <row r="12" spans="1:6" ht="11.45" customHeight="1" x14ac:dyDescent="0.2">
      <c r="B12" s="15" t="s">
        <v>18</v>
      </c>
      <c r="C12" s="16">
        <f>+GETPIVOTDATA("Suma de Apropiación vigencias",'[1]CUA8.TD'!$A$10,"Tipo","1Funcionamiento","Cuentas","D-Gastos de Comercialización y Producción")/1000000000</f>
        <v>241.78324303943006</v>
      </c>
      <c r="D12" s="16">
        <f>+GETPIVOTDATA("Suma de Pago",'[1]CUA8.TD'!$A$10,"Tipo","1Funcionamiento","Cuentas","D-Gastos de Comercialización y Producción")/1000000000</f>
        <v>169.43493651074999</v>
      </c>
      <c r="E12" s="16">
        <f t="shared" si="1"/>
        <v>72.34830652868007</v>
      </c>
      <c r="F12" s="14">
        <f t="shared" si="0"/>
        <v>70.077204019932225</v>
      </c>
    </row>
    <row r="13" spans="1:6" ht="11.45" customHeight="1" x14ac:dyDescent="0.2">
      <c r="B13" s="15" t="s">
        <v>19</v>
      </c>
      <c r="C13" s="16">
        <f>+GETPIVOTDATA("Suma de Apropiación vigencias",'[1]CUA8.TD'!$A$10,"Tipo","1Funcionamiento","Cuentas","E-Adquisición de Activos Financieros")/1000000000</f>
        <v>3.4244492860000002</v>
      </c>
      <c r="D13" s="16">
        <f>+GETPIVOTDATA("Suma de Pago",'[1]CUA8.TD'!$A$10,"Tipo","1Funcionamiento","Cuentas","E-Adquisición de Activos Financieros")/1000000000</f>
        <v>2.9014492860000001</v>
      </c>
      <c r="E13" s="16">
        <f t="shared" si="1"/>
        <v>0.52300000000000013</v>
      </c>
      <c r="F13" s="14">
        <f t="shared" si="0"/>
        <v>84.727471300621843</v>
      </c>
    </row>
    <row r="14" spans="1:6" ht="11.45" customHeight="1" x14ac:dyDescent="0.2">
      <c r="B14" s="15" t="s">
        <v>20</v>
      </c>
      <c r="C14" s="16">
        <f>+GETPIVOTDATA("Suma de Apropiación vigencias",'[1]CUA8.TD'!$A$10,"Tipo","1Funcionamiento","Cuentas","F-Disminución de Pasivos")/1000000000</f>
        <v>18.70843939964</v>
      </c>
      <c r="D14" s="16">
        <f>+GETPIVOTDATA("Suma de Pago",'[1]CUA8.TD'!$A$10,"Tipo","1Funcionamiento","Cuentas","F-Disminución de Pasivos")/1000000000</f>
        <v>17.14696497237</v>
      </c>
      <c r="E14" s="16">
        <f t="shared" si="1"/>
        <v>1.5614744272699994</v>
      </c>
      <c r="F14" s="14">
        <f t="shared" si="0"/>
        <v>91.653636126912616</v>
      </c>
    </row>
    <row r="15" spans="1:6" ht="24" customHeight="1" x14ac:dyDescent="0.2">
      <c r="A15" s="17"/>
      <c r="B15" s="18" t="s">
        <v>21</v>
      </c>
      <c r="C15" s="19">
        <f>+GETPIVOTDATA("Suma de Apropiación vigencias",'[1]CUA8.TD'!$A$10,"Tipo","1Funcionamiento","Cuentas","G-Gastos por Tributos, Multas, Sanciones e Intereses de Mora")/1000000000</f>
        <v>1.4940929482500001</v>
      </c>
      <c r="D15" s="19">
        <f>+GETPIVOTDATA("Suma de Pago",'[1]CUA8.TD'!$A$10,"Tipo","1Funcionamiento","Cuentas","G-Gastos por Tributos, Multas, Sanciones e Intereses de Mora")/1000000000</f>
        <v>1.1407924711199999</v>
      </c>
      <c r="E15" s="19">
        <f t="shared" si="1"/>
        <v>0.35330047713000012</v>
      </c>
      <c r="F15" s="20">
        <f t="shared" si="0"/>
        <v>76.353514181041177</v>
      </c>
    </row>
    <row r="16" spans="1:6" s="21" customFormat="1" x14ac:dyDescent="0.2">
      <c r="A16" s="12" t="s">
        <v>22</v>
      </c>
      <c r="B16" s="12" t="s">
        <v>23</v>
      </c>
      <c r="C16" s="13">
        <f>+C21+C17</f>
        <v>43.453480172180001</v>
      </c>
      <c r="D16" s="13">
        <f>+D21+D17</f>
        <v>34.321730263420001</v>
      </c>
      <c r="E16" s="13">
        <f>+C16-D16</f>
        <v>9.1317499087599998</v>
      </c>
      <c r="F16" s="12">
        <f t="shared" si="0"/>
        <v>78.984997582296359</v>
      </c>
    </row>
    <row r="17" spans="1:7" ht="11.25" customHeight="1" x14ac:dyDescent="0.2">
      <c r="A17" s="14"/>
      <c r="B17" s="22" t="s">
        <v>24</v>
      </c>
      <c r="C17" s="23">
        <f>+C20</f>
        <v>1.0005588009099999</v>
      </c>
      <c r="D17" s="23">
        <f>+D20</f>
        <v>0</v>
      </c>
      <c r="E17" s="23">
        <f>+C17-D17</f>
        <v>1.0005588009099999</v>
      </c>
      <c r="F17" s="24">
        <f t="shared" si="0"/>
        <v>0</v>
      </c>
    </row>
    <row r="18" spans="1:7" ht="11.25" hidden="1" customHeight="1" x14ac:dyDescent="0.2">
      <c r="A18" s="14"/>
      <c r="B18" s="25" t="s">
        <v>25</v>
      </c>
      <c r="C18" s="16" t="e">
        <f>+GETPIVOTDATA("Suma de Apropiación vigencias",'[1]CUA8.TD'!$A$10,"Tipo","2Servicio de la Deuda","Cuentas","A-Servicio de la Deuda Pública Externa","Detalle Programas","A-Principal")/1000000000</f>
        <v>#REF!</v>
      </c>
      <c r="D18" s="19" t="e">
        <f>+GETPIVOTDATA("Suma de Pago",'[1]CUA8.TD'!$A$10,"Tipo","2Servicio de la Deuda","Cuentas","A-Servicio de la Deuda Pública Externa","Detalle Programas","A-Principal")/1000000000</f>
        <v>#REF!</v>
      </c>
      <c r="E18" s="16" t="e">
        <f t="shared" ref="E18:E20" si="2">+C18-D18</f>
        <v>#REF!</v>
      </c>
      <c r="F18" s="14">
        <f t="shared" si="0"/>
        <v>0</v>
      </c>
    </row>
    <row r="19" spans="1:7" ht="13.5" hidden="1" customHeight="1" x14ac:dyDescent="0.2">
      <c r="A19" s="14"/>
      <c r="B19" s="25" t="s">
        <v>26</v>
      </c>
      <c r="C19" s="16" t="e">
        <f>+GETPIVOTDATA("Suma de Apropiación vigencias",'[1]CUA8.TD'!$A$10,"Tipo","2Servicio de la Deuda","Cuentas","A-Servicio de la Deuda Pública Externa","Detalle Programas","B-Intereses")/1000000000</f>
        <v>#REF!</v>
      </c>
      <c r="D19" s="19" t="e">
        <f>+GETPIVOTDATA("Suma de Pago",'[1]CUA8.TD'!$A$10,"Tipo","2Servicio de la Deuda","Cuentas","A-Servicio de la Deuda Pública Externa","Detalle Programas","B-Intereses")/1000000000</f>
        <v>#REF!</v>
      </c>
      <c r="E19" s="16" t="e">
        <f t="shared" si="2"/>
        <v>#REF!</v>
      </c>
      <c r="F19" s="14">
        <f t="shared" si="0"/>
        <v>0</v>
      </c>
    </row>
    <row r="20" spans="1:7" ht="12.75" customHeight="1" x14ac:dyDescent="0.2">
      <c r="A20" s="14"/>
      <c r="B20" s="25" t="s">
        <v>27</v>
      </c>
      <c r="C20" s="16">
        <f>+GETPIVOTDATA("Suma de Apropiación vigencias",'[1]CUA8.TD'!$A$10,"Tipo","2Servicio de la Deuda","Cuentas","A-Servicio de la Deuda Pública Externa","Detalle Programas","C-Comisiones Y Otros Gastos")/1000000000</f>
        <v>1.0005588009099999</v>
      </c>
      <c r="D20" s="19">
        <f>+GETPIVOTDATA("Suma de Pago",'[1]CUA8.TD'!$A$10,"Tipo","2Servicio de la Deuda","Cuentas","A-Servicio de la Deuda Pública Externa","Detalle Programas","C-Comisiones Y Otros Gastos")/1000000000</f>
        <v>0</v>
      </c>
      <c r="E20" s="16">
        <f t="shared" si="2"/>
        <v>1.0005588009099999</v>
      </c>
      <c r="F20" s="14">
        <f t="shared" si="0"/>
        <v>0</v>
      </c>
    </row>
    <row r="21" spans="1:7" ht="11.25" customHeight="1" x14ac:dyDescent="0.2">
      <c r="A21" s="14"/>
      <c r="B21" s="22" t="s">
        <v>28</v>
      </c>
      <c r="C21" s="23">
        <f>+SUM(C22:C24)</f>
        <v>42.452921371270001</v>
      </c>
      <c r="D21" s="23">
        <f>+SUM(D22:D24)</f>
        <v>34.321730263420001</v>
      </c>
      <c r="E21" s="26">
        <f>+SUM(E22:E24)</f>
        <v>8.1311911078500003</v>
      </c>
      <c r="F21" s="24">
        <f t="shared" si="0"/>
        <v>80.846568751443385</v>
      </c>
    </row>
    <row r="22" spans="1:7" ht="11.25" customHeight="1" x14ac:dyDescent="0.2">
      <c r="A22" s="14"/>
      <c r="B22" s="25" t="s">
        <v>25</v>
      </c>
      <c r="C22" s="16">
        <f>+GETPIVOTDATA("Suma de Apropiación vigencias",'[1]CUA8.TD'!$A$10,"Tipo","2Servicio de la Deuda","Cuentas","B-Servicio de la Deuda Pública Interna","Detalle Programas","A-Principal")/1000000000</f>
        <v>6.4162979392600006</v>
      </c>
      <c r="D22" s="19">
        <f>+GETPIVOTDATA("Suma de Pago",'[1]CUA8.TD'!$A$10,"Tipo","2Servicio de la Deuda","Cuentas","B-Servicio de la Deuda Pública Interna","Detalle Programas","A-Principal")/1000000000</f>
        <v>6.4162979392600006</v>
      </c>
      <c r="E22" s="27">
        <f>+C22-D22</f>
        <v>0</v>
      </c>
      <c r="F22" s="14">
        <f t="shared" si="0"/>
        <v>100</v>
      </c>
    </row>
    <row r="23" spans="1:7" ht="11.25" customHeight="1" x14ac:dyDescent="0.2">
      <c r="A23" s="14"/>
      <c r="B23" s="25" t="s">
        <v>26</v>
      </c>
      <c r="C23" s="28">
        <f>+GETPIVOTDATA("Suma de Apropiación vigencias",'[1]CUA8.TD'!$A$10,"Tipo","2Servicio de la Deuda","Cuentas","B-Servicio de la Deuda Pública Interna","Detalle Programas","B-Intereses")/1000000000</f>
        <v>0.22984615901</v>
      </c>
      <c r="D23" s="29">
        <f>+GETPIVOTDATA("Suma de Pago",'[1]CUA8.TD'!$A$10,"Tipo","2Servicio de la Deuda","Cuentas","B-Servicio de la Deuda Pública Interna","Detalle Programas","B-Intereses")/1000000000</f>
        <v>0.22984615901</v>
      </c>
      <c r="E23" s="27">
        <f>+C23-D23</f>
        <v>0</v>
      </c>
      <c r="F23" s="14">
        <f t="shared" si="0"/>
        <v>100</v>
      </c>
    </row>
    <row r="24" spans="1:7" ht="11.25" customHeight="1" x14ac:dyDescent="0.2">
      <c r="A24" s="14"/>
      <c r="B24" s="25" t="s">
        <v>27</v>
      </c>
      <c r="C24" s="16">
        <f>+GETPIVOTDATA("Suma de Apropiación vigencias",'[1]CUA8.TD'!$A$10,"Tipo","2Servicio de la Deuda","Cuentas","B-Servicio de la Deuda Pública Interna","Detalle Programas","C-Comisiones Y Otros Gastos")/1000000000</f>
        <v>35.806777273000002</v>
      </c>
      <c r="D24" s="19">
        <f>+GETPIVOTDATA("Suma de Pago",'[1]CUA8.TD'!$A$10,"Tipo","2Servicio de la Deuda","Cuentas","B-Servicio de la Deuda Pública Interna","Detalle Programas","C-Comisiones Y Otros Gastos")/1000000000</f>
        <v>27.675586165150001</v>
      </c>
      <c r="E24" s="27">
        <f>+C24-D24</f>
        <v>8.1311911078500003</v>
      </c>
      <c r="F24" s="14">
        <f t="shared" si="0"/>
        <v>77.291474611480041</v>
      </c>
    </row>
    <row r="25" spans="1:7" ht="11.25" customHeight="1" x14ac:dyDescent="0.2">
      <c r="A25" s="12" t="s">
        <v>29</v>
      </c>
      <c r="B25" s="12" t="s">
        <v>30</v>
      </c>
      <c r="C25" s="13">
        <f>+GETPIVOTDATA("Suma de Apropiación vigencias",'[1]CUA8.TD'!$A$10,"Tipo","3Inversión")/1000000000</f>
        <v>8927.1757553725201</v>
      </c>
      <c r="D25" s="13">
        <f>+GETPIVOTDATA("Suma de Pago",'[1]CUA8.TD'!$A$10,"Tipo","3Inversión")/1000000000</f>
        <v>3104.989398758521</v>
      </c>
      <c r="E25" s="13">
        <f>+C25-D25</f>
        <v>5822.1863566139991</v>
      </c>
      <c r="F25" s="12">
        <f>IFERROR(IF(C25&gt;0,+(D25/C25)*100,0),0)</f>
        <v>34.781318121690255</v>
      </c>
    </row>
    <row r="26" spans="1:7" ht="11.25" customHeight="1" x14ac:dyDescent="0.2">
      <c r="A26" s="30" t="s">
        <v>31</v>
      </c>
      <c r="B26" s="30" t="s">
        <v>32</v>
      </c>
      <c r="C26" s="31">
        <f>+C25+C16+C8</f>
        <v>16982.63215696951</v>
      </c>
      <c r="D26" s="31">
        <f>+D25+D16+D8</f>
        <v>6681.9979758054324</v>
      </c>
      <c r="E26" s="31">
        <f>SUM(E8+E16+E25)</f>
        <v>10300.634181164078</v>
      </c>
      <c r="F26" s="30">
        <f>IFERROR(IF(C26&gt;0,+(D26/C26)*100,0),0)</f>
        <v>39.346067877135319</v>
      </c>
      <c r="G26" s="32"/>
    </row>
    <row r="27" spans="1:7" ht="11.25" customHeight="1" x14ac:dyDescent="0.2">
      <c r="A27" s="33" t="s">
        <v>33</v>
      </c>
      <c r="B27" s="33" t="s">
        <v>34</v>
      </c>
      <c r="C27" s="34">
        <f>+C25+C8</f>
        <v>16939.178676797332</v>
      </c>
      <c r="D27" s="34">
        <f>+D25+D8</f>
        <v>6647.6762455420121</v>
      </c>
      <c r="E27" s="34">
        <f>SUM(E8+E25)</f>
        <v>10291.502431255318</v>
      </c>
      <c r="F27" s="33">
        <f>IFERROR(IF(C27&gt;0,+(D27/C27)*100,0),0)</f>
        <v>39.244383522843144</v>
      </c>
    </row>
    <row r="28" spans="1:7" ht="11.25" customHeight="1" x14ac:dyDescent="0.2">
      <c r="A28" s="35" t="s">
        <v>35</v>
      </c>
      <c r="B28" s="36"/>
      <c r="C28" s="36"/>
      <c r="D28" s="36"/>
      <c r="E28" s="36"/>
      <c r="F28" s="36"/>
    </row>
    <row r="29" spans="1:7" ht="12.75" customHeight="1" x14ac:dyDescent="0.2"/>
    <row r="30" spans="1:7" x14ac:dyDescent="0.2">
      <c r="A30" s="14"/>
      <c r="B30" s="14"/>
      <c r="C30" s="37"/>
      <c r="D30" s="37"/>
      <c r="E30" s="37"/>
      <c r="F30" s="38"/>
    </row>
    <row r="31" spans="1:7" x14ac:dyDescent="0.2">
      <c r="F31" s="39"/>
    </row>
  </sheetData>
  <mergeCells count="8">
    <mergeCell ref="A1:F1"/>
    <mergeCell ref="A2:F2"/>
    <mergeCell ref="A3:F3"/>
    <mergeCell ref="A4:F4"/>
    <mergeCell ref="B5:B6"/>
    <mergeCell ref="C5:C6"/>
    <mergeCell ref="D5:D6"/>
    <mergeCell ref="E5:E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CUA8</vt:lpstr>
      <vt:lpstr>'CUA8'!Área_de_impresión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cp:lastPrinted>2020-03-13T21:37:18Z</cp:lastPrinted>
  <dcterms:created xsi:type="dcterms:W3CDTF">2020-03-13T21:36:57Z</dcterms:created>
  <dcterms:modified xsi:type="dcterms:W3CDTF">2020-03-13T21:37:47Z</dcterms:modified>
</cp:coreProperties>
</file>