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Enero\"/>
    </mc:Choice>
  </mc:AlternateContent>
  <bookViews>
    <workbookView xWindow="0" yWindow="0" windowWidth="28800" windowHeight="11400"/>
  </bookViews>
  <sheets>
    <sheet name="CUA3" sheetId="1" r:id="rId1"/>
  </sheets>
  <externalReferences>
    <externalReference r:id="rId2"/>
  </externalReferences>
  <definedNames>
    <definedName name="_xlnm.Print_Area" localSheetId="0">'CUA3'!$A$1:$L$29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K21" i="1"/>
  <c r="J21" i="1"/>
  <c r="I21" i="1"/>
  <c r="H21" i="1"/>
  <c r="G21" i="1"/>
  <c r="L20" i="1"/>
  <c r="K20" i="1"/>
  <c r="J20" i="1"/>
  <c r="I20" i="1"/>
  <c r="H20" i="1"/>
  <c r="G20" i="1"/>
  <c r="L19" i="1"/>
  <c r="K19" i="1"/>
  <c r="J19" i="1"/>
  <c r="I19" i="1"/>
  <c r="H19" i="1"/>
  <c r="G19" i="1"/>
  <c r="K18" i="1"/>
  <c r="F18" i="1"/>
  <c r="J18" i="1" s="1"/>
  <c r="E18" i="1"/>
  <c r="I18" i="1" s="1"/>
  <c r="D18" i="1"/>
  <c r="C18" i="1"/>
  <c r="D23" i="1"/>
  <c r="F16" i="1"/>
  <c r="D13" i="1"/>
  <c r="F12" i="1"/>
  <c r="E23" i="1"/>
  <c r="C23" i="1"/>
  <c r="E16" i="1"/>
  <c r="C13" i="1"/>
  <c r="E12" i="1"/>
  <c r="F25" i="1"/>
  <c r="D16" i="1"/>
  <c r="F15" i="1"/>
  <c r="D12" i="1"/>
  <c r="F11" i="1"/>
  <c r="C24" i="1"/>
  <c r="E25" i="1"/>
  <c r="C16" i="1"/>
  <c r="E15" i="1"/>
  <c r="C12" i="1"/>
  <c r="E11" i="1"/>
  <c r="F10" i="1"/>
  <c r="C10" i="1"/>
  <c r="D25" i="1"/>
  <c r="F24" i="1"/>
  <c r="D15" i="1"/>
  <c r="F14" i="1"/>
  <c r="D11" i="1"/>
  <c r="C14" i="1"/>
  <c r="C25" i="1"/>
  <c r="E24" i="1"/>
  <c r="C15" i="1"/>
  <c r="E14" i="1"/>
  <c r="C11" i="1"/>
  <c r="E10" i="1"/>
  <c r="D24" i="1"/>
  <c r="F23" i="1"/>
  <c r="D14" i="1"/>
  <c r="F13" i="1"/>
  <c r="D10" i="1"/>
  <c r="E13" i="1"/>
  <c r="K13" i="1" l="1"/>
  <c r="I13" i="1"/>
  <c r="D9" i="1"/>
  <c r="H10" i="1"/>
  <c r="L13" i="1"/>
  <c r="J13" i="1"/>
  <c r="H14" i="1"/>
  <c r="L23" i="1"/>
  <c r="F22" i="1"/>
  <c r="J23" i="1"/>
  <c r="H24" i="1"/>
  <c r="I10" i="1"/>
  <c r="K10" i="1"/>
  <c r="E9" i="1"/>
  <c r="G11" i="1"/>
  <c r="I14" i="1"/>
  <c r="K14" i="1"/>
  <c r="G15" i="1"/>
  <c r="I24" i="1"/>
  <c r="K24" i="1"/>
  <c r="G25" i="1"/>
  <c r="G14" i="1"/>
  <c r="H11" i="1"/>
  <c r="J14" i="1"/>
  <c r="L14" i="1"/>
  <c r="H15" i="1"/>
  <c r="J24" i="1"/>
  <c r="L24" i="1"/>
  <c r="H25" i="1"/>
  <c r="C9" i="1"/>
  <c r="G10" i="1"/>
  <c r="J10" i="1"/>
  <c r="L10" i="1"/>
  <c r="F9" i="1"/>
  <c r="K11" i="1"/>
  <c r="I11" i="1"/>
  <c r="G12" i="1"/>
  <c r="I15" i="1"/>
  <c r="K15" i="1"/>
  <c r="G16" i="1"/>
  <c r="I25" i="1"/>
  <c r="K25" i="1"/>
  <c r="G24" i="1"/>
  <c r="L11" i="1"/>
  <c r="J11" i="1"/>
  <c r="H12" i="1"/>
  <c r="L15" i="1"/>
  <c r="J15" i="1"/>
  <c r="H16" i="1"/>
  <c r="L25" i="1"/>
  <c r="J25" i="1"/>
  <c r="K12" i="1"/>
  <c r="I12" i="1"/>
  <c r="G13" i="1"/>
  <c r="K16" i="1"/>
  <c r="I16" i="1"/>
  <c r="C22" i="1"/>
  <c r="G22" i="1" s="1"/>
  <c r="G23" i="1"/>
  <c r="K23" i="1"/>
  <c r="E22" i="1"/>
  <c r="I23" i="1"/>
  <c r="L12" i="1"/>
  <c r="J12" i="1"/>
  <c r="H13" i="1"/>
  <c r="L16" i="1"/>
  <c r="J16" i="1"/>
  <c r="D22" i="1"/>
  <c r="H22" i="1" s="1"/>
  <c r="H23" i="1"/>
  <c r="C17" i="1"/>
  <c r="D17" i="1"/>
  <c r="H17" i="1" s="1"/>
  <c r="L18" i="1"/>
  <c r="G18" i="1"/>
  <c r="H18" i="1"/>
  <c r="G9" i="1" l="1"/>
  <c r="G26" i="1" s="1"/>
  <c r="G27" i="1" s="1"/>
  <c r="F26" i="1"/>
  <c r="L9" i="1"/>
  <c r="J9" i="1"/>
  <c r="L22" i="1"/>
  <c r="J22" i="1"/>
  <c r="F17" i="1"/>
  <c r="G17" i="1"/>
  <c r="C26" i="1"/>
  <c r="C27" i="1" s="1"/>
  <c r="E26" i="1"/>
  <c r="K9" i="1"/>
  <c r="I9" i="1"/>
  <c r="E17" i="1"/>
  <c r="K22" i="1"/>
  <c r="I22" i="1"/>
  <c r="D26" i="1"/>
  <c r="H9" i="1"/>
  <c r="L17" i="1" l="1"/>
  <c r="J17" i="1"/>
  <c r="L26" i="1"/>
  <c r="J26" i="1"/>
  <c r="F27" i="1"/>
  <c r="D27" i="1"/>
  <c r="H27" i="1" s="1"/>
  <c r="H26" i="1"/>
  <c r="K26" i="1"/>
  <c r="E27" i="1"/>
  <c r="I26" i="1"/>
  <c r="K17" i="1"/>
  <c r="I17" i="1"/>
  <c r="K27" i="1" l="1"/>
  <c r="I27" i="1"/>
  <c r="L27" i="1"/>
  <c r="J27" i="1"/>
</calcChain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<sst xmlns="http://schemas.openxmlformats.org/spreadsheetml/2006/main" count="52" uniqueCount="50">
  <si>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</si>
  <si>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</si>
  <si>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Acumulada a enero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</si>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</sst>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_);_(* \(#,##0\);_(* &quot;-&quot;??_);_(@_)"/>
    <numFmt numFmtId="167" formatCode="0_);\(0\)"/>
    <numFmt numFmtId="168" formatCode="_(* #,##0.00_);_(* \(#,##0.00\);_(* &quot;-&quot;??_);_(@_)"/>
    <numFmt numFmtId="169" formatCode="_ * #,##0.00_ ;_ * \-#,##0.00_ ;_ * &quot;-&quot;??_ ;_ @_ "/>
    <numFmt numFmtId="170" formatCode="_ * #,##0.0_ ;_ * \-#,##0.0_ ;_ * &quot;-&quot;??_ ;_ @_ "/>
    <numFmt numFmtId="171" formatCode="_-* #,##0.0_-;\-* #,##0.0_-;_-* &quot;-&quot;_-;_-@_-"/>
    <numFmt numFmtId="172" formatCode="[$-240A]d&quot; de &quot;mmmm&quot; de &quot;yyyy;@"/>
    <numFmt numFmtId="173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9" fillId="0" borderId="0"/>
  </cellStyleXfs>
  <cellXfs count="60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/>
    <xf numFmtId="166" fontId="4" fillId="0" borderId="0" xfId="1" applyNumberFormat="1" applyFont="1"/>
    <xf numFmtId="43" fontId="4" fillId="0" borderId="0" xfId="1" applyFont="1"/>
    <xf numFmtId="167" fontId="5" fillId="0" borderId="0" xfId="1" applyNumberFormat="1" applyFont="1" applyBorder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70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70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1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1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1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1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6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1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1" fontId="6" fillId="2" borderId="0" xfId="2" applyNumberFormat="1" applyFont="1" applyFill="1" applyBorder="1"/>
    <xf numFmtId="172" fontId="4" fillId="0" borderId="0" xfId="8" applyNumberFormat="1" applyFont="1" applyFill="1" applyBorder="1" applyAlignment="1" applyProtection="1"/>
    <xf numFmtId="10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EN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5.TD"/>
      <sheetName val="CUA4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 t="str">
            <v>Etiquetas de fila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1:XFD35"/>
  <sheetViews>
    <sheetView showGridLines="0" tabSelected="1" topLeftCell="C1" workbookViewId="0">
      <selection activeCell="C35" sqref="A35:XFD1048576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7.71093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8.25" customHeight="1" x14ac:dyDescent="0.2">
      <c r="A5" s="5"/>
      <c r="B5" s="6"/>
      <c r="C5" s="6"/>
      <c r="D5" s="6"/>
      <c r="E5" s="6"/>
      <c r="F5" s="6"/>
      <c r="G5" s="6"/>
      <c r="H5" s="7"/>
      <c r="I5" s="5"/>
      <c r="J5" s="5"/>
      <c r="K5" s="5"/>
      <c r="L5" s="8">
        <v>1000000000</v>
      </c>
    </row>
    <row r="6" spans="1:18" ht="12" customHeight="1" x14ac:dyDescent="0.2">
      <c r="A6" s="9"/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 t="s">
        <v>9</v>
      </c>
      <c r="H6" s="13" t="s">
        <v>10</v>
      </c>
      <c r="I6" s="13"/>
      <c r="J6" s="13"/>
      <c r="K6" s="13"/>
      <c r="L6" s="13"/>
    </row>
    <row r="7" spans="1:18" ht="12" customHeight="1" x14ac:dyDescent="0.2">
      <c r="A7" s="9"/>
      <c r="B7" s="10"/>
      <c r="C7" s="11" t="s">
        <v>11</v>
      </c>
      <c r="D7" s="11"/>
      <c r="E7" s="11"/>
      <c r="F7" s="11"/>
      <c r="G7" s="12"/>
      <c r="H7" s="14" t="s">
        <v>12</v>
      </c>
      <c r="I7" s="14" t="s">
        <v>13</v>
      </c>
      <c r="J7" s="14" t="s">
        <v>14</v>
      </c>
      <c r="K7" s="14" t="s">
        <v>15</v>
      </c>
      <c r="L7" s="14" t="s">
        <v>16</v>
      </c>
    </row>
    <row r="8" spans="1:18" ht="12" customHeight="1" x14ac:dyDescent="0.2">
      <c r="A8" s="9"/>
      <c r="B8" s="15"/>
      <c r="C8" s="16" t="s">
        <v>17</v>
      </c>
      <c r="D8" s="17" t="s">
        <v>18</v>
      </c>
      <c r="E8" s="16" t="s">
        <v>19</v>
      </c>
      <c r="F8" s="18" t="s">
        <v>20</v>
      </c>
      <c r="G8" s="19" t="s">
        <v>21</v>
      </c>
      <c r="H8" s="20" t="s">
        <v>22</v>
      </c>
      <c r="I8" s="20" t="s">
        <v>23</v>
      </c>
      <c r="J8" s="20" t="s">
        <v>24</v>
      </c>
      <c r="K8" s="20" t="s">
        <v>25</v>
      </c>
      <c r="L8" s="20" t="s">
        <v>26</v>
      </c>
    </row>
    <row r="9" spans="1:18" ht="11.45" customHeight="1" x14ac:dyDescent="0.2">
      <c r="A9" s="21" t="s">
        <v>27</v>
      </c>
      <c r="B9" s="22" t="s">
        <v>28</v>
      </c>
      <c r="C9" s="23">
        <f>SUM(C10:C16)</f>
        <v>7354.1927726720005</v>
      </c>
      <c r="D9" s="23">
        <f>SUM(D10:D16)</f>
        <v>1808.7584750260899</v>
      </c>
      <c r="E9" s="23">
        <f>SUM(E10:E16)</f>
        <v>250.00314122938002</v>
      </c>
      <c r="F9" s="23">
        <f>SUM(F10:F16)</f>
        <v>202.74962260102998</v>
      </c>
      <c r="G9" s="24">
        <f>SUM(G10:G16)</f>
        <v>5545.4342976459111</v>
      </c>
      <c r="H9" s="25">
        <f t="shared" ref="H9:H24" si="0">IFERROR(IF(D9&gt;0,+D9/C9*100,0),0)</f>
        <v>24.59492878331109</v>
      </c>
      <c r="I9" s="25">
        <f t="shared" ref="I9:I24" si="1">IFERROR(IF(E9&gt;0,+E9/C9*100,0),0)</f>
        <v>3.3994640738598196</v>
      </c>
      <c r="J9" s="25">
        <f t="shared" ref="J9:J24" si="2">IFERROR(IF(F9&gt;0,+F9/C9*100,0),0)</f>
        <v>2.7569255915406869</v>
      </c>
      <c r="K9" s="25">
        <f t="shared" ref="K9:L24" si="3">IFERROR(IF(E9&gt;0,+E9/D9*100,0),0)</f>
        <v>13.821808974566045</v>
      </c>
      <c r="L9" s="25">
        <f t="shared" si="3"/>
        <v>81.098830040301564</v>
      </c>
    </row>
    <row r="10" spans="1:18" ht="11.25" customHeight="1" x14ac:dyDescent="0.2">
      <c r="A10" s="26"/>
      <c r="B10" s="27" t="s">
        <v>29</v>
      </c>
      <c r="C10" s="28">
        <f>+GETPIVOTDATA("Suma de Apropiacion Vigente",'[1]CUA3.TD'!$A$9,"Tipo","1Funcionamiento","Cuentas","A-Gastos de Personal")/1000000000</f>
        <v>1960.434733366</v>
      </c>
      <c r="D10" s="28">
        <f>+GETPIVOTDATA("Suma de Compromisos",'[1]CUA3.TD'!$A$9,"Tipo","1Funcionamiento","Cuentas","A-Gastos de Personal")/1000000000</f>
        <v>135.62371803460999</v>
      </c>
      <c r="E10" s="28">
        <f>+GETPIVOTDATA("Suma de Obligación",'[1]CUA3.TD'!$A$9,"Tipo","1Funcionamiento","Cuentas","A-Gastos de Personal")/1000000000</f>
        <v>109.77471220398002</v>
      </c>
      <c r="F10" s="28">
        <f>+GETPIVOTDATA("Suma de Pago",'[1]CUA3.TD'!$A$9,"Tipo","1Funcionamiento","Cuentas","A-Gastos de Personal")/1000000000</f>
        <v>106.16914124938002</v>
      </c>
      <c r="G10" s="29">
        <f t="shared" ref="G10:G16" si="4">(((+C10-D10)))</f>
        <v>1824.8110153313901</v>
      </c>
      <c r="H10" s="30">
        <f t="shared" si="0"/>
        <v>6.9180430098659125</v>
      </c>
      <c r="I10" s="30">
        <f t="shared" si="1"/>
        <v>5.5995086363064255</v>
      </c>
      <c r="J10" s="30">
        <f t="shared" si="2"/>
        <v>5.4155917278149426</v>
      </c>
      <c r="K10" s="30">
        <f t="shared" si="3"/>
        <v>80.940645039657795</v>
      </c>
      <c r="L10" s="30">
        <f t="shared" si="3"/>
        <v>96.715481296001727</v>
      </c>
    </row>
    <row r="11" spans="1:18" ht="11.25" customHeight="1" x14ac:dyDescent="0.2">
      <c r="A11" s="26"/>
      <c r="B11" s="27" t="s">
        <v>30</v>
      </c>
      <c r="C11" s="28">
        <f>+GETPIVOTDATA("Suma de Apropiacion Vigente",'[1]CUA3.TD'!$A$9,"Tipo","1Funcionamiento","Cuentas","B-Adquisiciones de Bienes y Servicios")/1000000000</f>
        <v>844.81922358600002</v>
      </c>
      <c r="D11" s="28">
        <f>+GETPIVOTDATA("Suma de Compromisos",'[1]CUA3.TD'!$A$9,"Tipo","1Funcionamiento","Cuentas","B-Adquisiciones de Bienes y Servicios")/1000000000</f>
        <v>366.32791294509991</v>
      </c>
      <c r="E11" s="28">
        <f>+GETPIVOTDATA("Suma de Obligación",'[1]CUA3.TD'!$A$9,"Tipo","1Funcionamiento","Cuentas","B-Adquisiciones de Bienes y Servicios")/1000000000</f>
        <v>36.050845345569996</v>
      </c>
      <c r="F11" s="28">
        <f>+GETPIVOTDATA("Suma de Pago",'[1]CUA3.TD'!$A$9,"Tipo","1Funcionamiento","Cuentas","B-Adquisiciones de Bienes y Servicios")/1000000000</f>
        <v>32.478891568639995</v>
      </c>
      <c r="G11" s="29">
        <f t="shared" si="4"/>
        <v>478.49131064090011</v>
      </c>
      <c r="H11" s="30">
        <f t="shared" si="0"/>
        <v>43.361692385520016</v>
      </c>
      <c r="I11" s="30">
        <f t="shared" si="1"/>
        <v>4.2672851586573932</v>
      </c>
      <c r="J11" s="30">
        <f t="shared" si="2"/>
        <v>3.8444782814928149</v>
      </c>
      <c r="K11" s="30">
        <f t="shared" si="3"/>
        <v>9.8411407025303017</v>
      </c>
      <c r="L11" s="30">
        <f t="shared" si="3"/>
        <v>90.091900085308453</v>
      </c>
    </row>
    <row r="12" spans="1:18" ht="11.25" customHeight="1" x14ac:dyDescent="0.2">
      <c r="A12" s="26"/>
      <c r="B12" s="27" t="s">
        <v>31</v>
      </c>
      <c r="C12" s="28">
        <f>+GETPIVOTDATA("Suma de Apropiacion Vigente",'[1]CUA3.TD'!$A$9,"Tipo","1Funcionamiento","Cuentas","C-Transferencias")/1000000000</f>
        <v>3087.6572195899998</v>
      </c>
      <c r="D12" s="28">
        <f>+GETPIVOTDATA("Suma de Compromisos",'[1]CUA3.TD'!$A$9,"Tipo","1Funcionamiento","Cuentas","C-Transferencias")/1000000000</f>
        <v>951.10770021876999</v>
      </c>
      <c r="E12" s="28">
        <f>+GETPIVOTDATA("Suma de Obligación",'[1]CUA3.TD'!$A$9,"Tipo","1Funcionamiento","Cuentas","C-Transferencias")/1000000000</f>
        <v>82.338814598010003</v>
      </c>
      <c r="F12" s="28">
        <f>+GETPIVOTDATA("Suma de Pago",'[1]CUA3.TD'!$A$9,"Tipo","1Funcionamiento","Cuentas","C-Transferencias")/1000000000</f>
        <v>51.696204757609998</v>
      </c>
      <c r="G12" s="29">
        <f t="shared" si="4"/>
        <v>2136.54951937123</v>
      </c>
      <c r="H12" s="30">
        <f t="shared" si="0"/>
        <v>30.803539142374898</v>
      </c>
      <c r="I12" s="30">
        <f t="shared" si="1"/>
        <v>2.6667084051818262</v>
      </c>
      <c r="J12" s="30">
        <f t="shared" si="2"/>
        <v>1.6742857474468804</v>
      </c>
      <c r="K12" s="30">
        <f t="shared" si="3"/>
        <v>8.6571494036974741</v>
      </c>
      <c r="L12" s="30">
        <f t="shared" si="3"/>
        <v>62.784732826186954</v>
      </c>
    </row>
    <row r="13" spans="1:18" ht="11.25" customHeight="1" x14ac:dyDescent="0.2">
      <c r="A13" s="26"/>
      <c r="B13" s="27" t="s">
        <v>32</v>
      </c>
      <c r="C13" s="28">
        <f>+GETPIVOTDATA("Suma de Apropiacion Vigente",'[1]CUA3.TD'!$A$9,"Tipo","1Funcionamiento","Cuentas","D-Gastos de Comercialización y Producción")/1000000000</f>
        <v>1276.037909933</v>
      </c>
      <c r="D13" s="28">
        <f>+GETPIVOTDATA("Suma de Compromisos",'[1]CUA3.TD'!$A$9,"Tipo","1Funcionamiento","Cuentas","D-Gastos de Comercialización y Producción")/1000000000</f>
        <v>352.33414159611999</v>
      </c>
      <c r="E13" s="28">
        <f>+GETPIVOTDATA("Suma de Obligación",'[1]CUA3.TD'!$A$9,"Tipo","1Funcionamiento","Cuentas","D-Gastos de Comercialización y Producción")/1000000000</f>
        <v>18.99377474317</v>
      </c>
      <c r="F13" s="28">
        <f>+GETPIVOTDATA("Suma de Pago",'[1]CUA3.TD'!$A$9,"Tipo","1Funcionamiento","Cuentas","D-Gastos de Comercialización y Producción")/1000000000</f>
        <v>9.7893396453400001</v>
      </c>
      <c r="G13" s="29">
        <f t="shared" si="4"/>
        <v>923.7037683368801</v>
      </c>
      <c r="H13" s="30">
        <f t="shared" si="0"/>
        <v>27.611573202760077</v>
      </c>
      <c r="I13" s="30">
        <f t="shared" si="1"/>
        <v>1.4884961171856792</v>
      </c>
      <c r="J13" s="30">
        <f t="shared" si="2"/>
        <v>0.76716683486731219</v>
      </c>
      <c r="K13" s="30">
        <f t="shared" si="3"/>
        <v>5.3908413919598326</v>
      </c>
      <c r="L13" s="30">
        <f t="shared" si="3"/>
        <v>51.539726977441191</v>
      </c>
    </row>
    <row r="14" spans="1:18" ht="11.25" customHeight="1" x14ac:dyDescent="0.2">
      <c r="A14" s="26"/>
      <c r="B14" s="27" t="s">
        <v>33</v>
      </c>
      <c r="C14" s="28">
        <f>+GETPIVOTDATA("Suma de Apropiacion Vigente",'[1]CUA3.TD'!$A$9,"Tipo","1Funcionamiento","Cuentas","E-Adquisición de Activos Financieros")/1000000000</f>
        <v>72.360848000000004</v>
      </c>
      <c r="D14" s="28">
        <f>+GETPIVOTDATA("Suma de Compromisos",'[1]CUA3.TD'!$A$9,"Tipo","1Funcionamiento","Cuentas","E-Adquisición de Activos Financieros")/1000000000</f>
        <v>0.64353796043</v>
      </c>
      <c r="E14" s="28">
        <f>+GETPIVOTDATA("Suma de Obligación",'[1]CUA3.TD'!$A$9,"Tipo","1Funcionamiento","Cuentas","E-Adquisición de Activos Financieros")/1000000000</f>
        <v>0.63778053859000006</v>
      </c>
      <c r="F14" s="28">
        <f>+GETPIVOTDATA("Suma de Pago",'[1]CUA3.TD'!$A$9,"Tipo","1Funcionamiento","Cuentas","E-Adquisición de Activos Financieros")/1000000000</f>
        <v>0.63100000000000001</v>
      </c>
      <c r="G14" s="29">
        <f t="shared" si="4"/>
        <v>71.717310039570009</v>
      </c>
      <c r="H14" s="30">
        <f t="shared" si="0"/>
        <v>0.88934552070202377</v>
      </c>
      <c r="I14" s="30">
        <f t="shared" si="1"/>
        <v>0.8813889779041838</v>
      </c>
      <c r="J14" s="30">
        <f t="shared" si="2"/>
        <v>0.87201852581937667</v>
      </c>
      <c r="K14" s="30">
        <f t="shared" si="3"/>
        <v>99.105348527357577</v>
      </c>
      <c r="L14" s="30">
        <f t="shared" si="3"/>
        <v>98.936853952146237</v>
      </c>
    </row>
    <row r="15" spans="1:18" ht="11.25" customHeight="1" x14ac:dyDescent="0.2">
      <c r="A15" s="26"/>
      <c r="B15" s="27" t="s">
        <v>34</v>
      </c>
      <c r="C15" s="28">
        <f>+GETPIVOTDATA("Suma de Apropiacion Vigente",'[1]CUA3.TD'!$A$9,"Tipo","1Funcionamiento","Cuentas","F-Disminución de Pasivos")/1000000000</f>
        <v>9.9309999999999992</v>
      </c>
      <c r="D15" s="28">
        <f>+GETPIVOTDATA("Suma de Compromisos",'[1]CUA3.TD'!$A$9,"Tipo","1Funcionamiento","Cuentas","F-Disminución de Pasivos")/1000000000</f>
        <v>6.5022980999999994E-2</v>
      </c>
      <c r="E15" s="28">
        <f>+GETPIVOTDATA("Suma de Obligación",'[1]CUA3.TD'!$A$9,"Tipo","1Funcionamiento","Cuentas","F-Disminución de Pasivos")/1000000000</f>
        <v>4.8518723E-2</v>
      </c>
      <c r="F15" s="28">
        <f>+GETPIVOTDATA("Suma de Pago",'[1]CUA3.TD'!$A$9,"Tipo","1Funcionamiento","Cuentas","F-Disminución de Pasivos")/1000000000</f>
        <v>4.8511185999999998E-2</v>
      </c>
      <c r="G15" s="29">
        <f t="shared" si="4"/>
        <v>9.8659770189999989</v>
      </c>
      <c r="H15" s="30">
        <f t="shared" si="0"/>
        <v>0.654747568220723</v>
      </c>
      <c r="I15" s="30">
        <f t="shared" si="1"/>
        <v>0.48855828214681307</v>
      </c>
      <c r="J15" s="30">
        <f t="shared" si="2"/>
        <v>0.48848238848051562</v>
      </c>
      <c r="K15" s="30">
        <f t="shared" si="3"/>
        <v>74.617807817823675</v>
      </c>
      <c r="L15" s="30">
        <f t="shared" si="3"/>
        <v>99.984465790659812</v>
      </c>
    </row>
    <row r="16" spans="1:18" s="36" customFormat="1" ht="22.5" x14ac:dyDescent="0.25">
      <c r="A16" s="31"/>
      <c r="B16" s="32" t="s">
        <v>35</v>
      </c>
      <c r="C16" s="33">
        <f>+GETPIVOTDATA("Suma de Apropiacion Vigente",'[1]CUA3.TD'!$A$9,"Tipo","1Funcionamiento","Cuentas","G-Gastos por Tributos, Multas, Sanciones e Intereses de Mora")/1000000000</f>
        <v>102.951838197</v>
      </c>
      <c r="D16" s="33">
        <f>+GETPIVOTDATA("Suma de Compromisos",'[1]CUA3.TD'!$A$9,"Tipo","1Funcionamiento","Cuentas","G-Gastos por Tributos, Multas, Sanciones e Intereses de Mora")/1000000000</f>
        <v>2.6564412900600001</v>
      </c>
      <c r="E16" s="33">
        <f>+GETPIVOTDATA("Suma de Obligación",'[1]CUA3.TD'!$A$9,"Tipo","1Funcionamiento","Cuentas","G-Gastos por Tributos, Multas, Sanciones e Intereses de Mora")/1000000000</f>
        <v>2.15869507706</v>
      </c>
      <c r="F16" s="33">
        <f>+GETPIVOTDATA("Suma de Pago",'[1]CUA3.TD'!$A$9,"Tipo","1Funcionamiento","Cuentas","G-Gastos por Tributos, Multas, Sanciones e Intereses de Mora")/1000000000</f>
        <v>1.93653419406</v>
      </c>
      <c r="G16" s="34">
        <f t="shared" si="4"/>
        <v>100.29539690694</v>
      </c>
      <c r="H16" s="35">
        <f t="shared" si="0"/>
        <v>2.5802757256037108</v>
      </c>
      <c r="I16" s="35">
        <f t="shared" si="1"/>
        <v>2.0968009069729305</v>
      </c>
      <c r="J16" s="35">
        <f t="shared" si="2"/>
        <v>1.8810098274830322</v>
      </c>
      <c r="K16" s="35">
        <f t="shared" si="3"/>
        <v>81.262668410459867</v>
      </c>
      <c r="L16" s="35">
        <f t="shared" si="3"/>
        <v>89.70855655526077</v>
      </c>
      <c r="P16" s="37"/>
      <c r="Q16" s="37"/>
      <c r="R16" s="37"/>
    </row>
    <row r="17" spans="1:12 16383:16383" ht="11.25" customHeight="1" x14ac:dyDescent="0.2">
      <c r="A17" s="21" t="s">
        <v>36</v>
      </c>
      <c r="B17" s="22" t="s">
        <v>37</v>
      </c>
      <c r="C17" s="23">
        <f>+C18+C22</f>
        <v>1.165</v>
      </c>
      <c r="D17" s="23">
        <f>+D18+D22</f>
        <v>0</v>
      </c>
      <c r="E17" s="23">
        <f>+E18+E22</f>
        <v>0</v>
      </c>
      <c r="F17" s="23">
        <f>+F18+F22</f>
        <v>0</v>
      </c>
      <c r="G17" s="23">
        <f>+G18+G22</f>
        <v>1.165</v>
      </c>
      <c r="H17" s="25">
        <f t="shared" si="0"/>
        <v>0</v>
      </c>
      <c r="I17" s="25">
        <f t="shared" si="1"/>
        <v>0</v>
      </c>
      <c r="J17" s="25">
        <f t="shared" si="2"/>
        <v>0</v>
      </c>
      <c r="K17" s="25">
        <f t="shared" si="3"/>
        <v>0</v>
      </c>
      <c r="L17" s="25">
        <f t="shared" si="3"/>
        <v>0</v>
      </c>
    </row>
    <row r="18" spans="1:12 16383:16383" ht="11.25" hidden="1" customHeight="1" x14ac:dyDescent="0.2">
      <c r="A18" s="38"/>
      <c r="B18" s="39" t="s">
        <v>38</v>
      </c>
      <c r="C18" s="40">
        <f>+C19+C20+C21</f>
        <v>0</v>
      </c>
      <c r="D18" s="40">
        <f>+D19+D20+D21</f>
        <v>0</v>
      </c>
      <c r="E18" s="40">
        <f>+E19+E20+E21</f>
        <v>0</v>
      </c>
      <c r="F18" s="40">
        <f>+F19+F20+F21</f>
        <v>0</v>
      </c>
      <c r="G18" s="41">
        <f>+C18-D18</f>
        <v>0</v>
      </c>
      <c r="H18" s="42">
        <f t="shared" si="0"/>
        <v>0</v>
      </c>
      <c r="I18" s="42">
        <f t="shared" si="1"/>
        <v>0</v>
      </c>
      <c r="J18" s="42">
        <f t="shared" si="2"/>
        <v>0</v>
      </c>
      <c r="K18" s="42">
        <f t="shared" si="3"/>
        <v>0</v>
      </c>
      <c r="L18" s="42">
        <f t="shared" si="3"/>
        <v>0</v>
      </c>
    </row>
    <row r="19" spans="1:12 16383:16383" ht="11.25" hidden="1" customHeight="1" x14ac:dyDescent="0.2">
      <c r="A19" s="26"/>
      <c r="B19" s="43" t="s">
        <v>39</v>
      </c>
      <c r="C19" s="28">
        <v>0</v>
      </c>
      <c r="D19" s="28">
        <v>0</v>
      </c>
      <c r="E19" s="28">
        <v>0</v>
      </c>
      <c r="F19" s="28">
        <v>0</v>
      </c>
      <c r="G19" s="29">
        <f t="shared" ref="G19:G24" si="5">+C19-D19</f>
        <v>0</v>
      </c>
      <c r="H19" s="30">
        <f t="shared" si="0"/>
        <v>0</v>
      </c>
      <c r="I19" s="30">
        <f t="shared" si="1"/>
        <v>0</v>
      </c>
      <c r="J19" s="30">
        <f t="shared" si="2"/>
        <v>0</v>
      </c>
      <c r="K19" s="30">
        <f t="shared" si="3"/>
        <v>0</v>
      </c>
      <c r="L19" s="30">
        <f t="shared" si="3"/>
        <v>0</v>
      </c>
    </row>
    <row r="20" spans="1:12 16383:16383" ht="11.25" hidden="1" customHeight="1" x14ac:dyDescent="0.2">
      <c r="A20" s="26"/>
      <c r="B20" s="43" t="s">
        <v>40</v>
      </c>
      <c r="C20" s="28">
        <v>0</v>
      </c>
      <c r="D20" s="28">
        <v>0</v>
      </c>
      <c r="E20" s="28">
        <v>0</v>
      </c>
      <c r="F20" s="28">
        <v>0</v>
      </c>
      <c r="G20" s="29">
        <f t="shared" si="5"/>
        <v>0</v>
      </c>
      <c r="H20" s="30">
        <f>IFERROR(IF(D20&gt;0,+D20/C20*100,0),0)</f>
        <v>0</v>
      </c>
      <c r="I20" s="30">
        <f>IFERROR(IF(E20&gt;0,+E20/C20*100,0),0)</f>
        <v>0</v>
      </c>
      <c r="J20" s="30">
        <f>IFERROR(IF(F20&gt;0,+F20/C20*100,0),0)</f>
        <v>0</v>
      </c>
      <c r="K20" s="30">
        <f t="shared" si="3"/>
        <v>0</v>
      </c>
      <c r="L20" s="30">
        <f t="shared" si="3"/>
        <v>0</v>
      </c>
      <c r="XFC20" s="44"/>
    </row>
    <row r="21" spans="1:12 16383:16383" ht="11.25" hidden="1" customHeight="1" x14ac:dyDescent="0.2">
      <c r="A21" s="26"/>
      <c r="B21" s="43" t="s">
        <v>41</v>
      </c>
      <c r="C21" s="28">
        <v>0</v>
      </c>
      <c r="D21" s="28">
        <v>0</v>
      </c>
      <c r="E21" s="28">
        <v>0</v>
      </c>
      <c r="F21" s="28">
        <v>0</v>
      </c>
      <c r="G21" s="29">
        <f t="shared" si="5"/>
        <v>0</v>
      </c>
      <c r="H21" s="30">
        <f t="shared" si="0"/>
        <v>0</v>
      </c>
      <c r="I21" s="30">
        <f t="shared" si="1"/>
        <v>0</v>
      </c>
      <c r="J21" s="30">
        <f t="shared" si="2"/>
        <v>0</v>
      </c>
      <c r="K21" s="30">
        <f t="shared" si="3"/>
        <v>0</v>
      </c>
      <c r="L21" s="30">
        <f t="shared" si="3"/>
        <v>0</v>
      </c>
    </row>
    <row r="22" spans="1:12 16383:16383" ht="11.25" customHeight="1" x14ac:dyDescent="0.2">
      <c r="A22" s="38"/>
      <c r="B22" s="39" t="s">
        <v>42</v>
      </c>
      <c r="C22" s="40">
        <f>SUM(C23:C24)</f>
        <v>1.165</v>
      </c>
      <c r="D22" s="40">
        <f>SUM(D23:D24)</f>
        <v>0</v>
      </c>
      <c r="E22" s="40">
        <f>SUM(E23:E24)</f>
        <v>0</v>
      </c>
      <c r="F22" s="40">
        <f>SUM(F23:F24)</f>
        <v>0</v>
      </c>
      <c r="G22" s="41">
        <f t="shared" si="5"/>
        <v>1.165</v>
      </c>
      <c r="H22" s="42">
        <f t="shared" si="0"/>
        <v>0</v>
      </c>
      <c r="I22" s="42">
        <f t="shared" si="1"/>
        <v>0</v>
      </c>
      <c r="J22" s="42">
        <f t="shared" si="2"/>
        <v>0</v>
      </c>
      <c r="K22" s="42">
        <f t="shared" si="3"/>
        <v>0</v>
      </c>
      <c r="L22" s="42">
        <f t="shared" si="3"/>
        <v>0</v>
      </c>
      <c r="XFC22" s="44"/>
    </row>
    <row r="23" spans="1:12 16383:16383" ht="11.25" customHeight="1" x14ac:dyDescent="0.2">
      <c r="A23" s="26"/>
      <c r="B23" s="43" t="s">
        <v>39</v>
      </c>
      <c r="C23" s="28">
        <f>+GETPIVOTDATA("Suma de Apropiacion Vigente",'[1]CUA3.TD'!$A$9,"Tipo","2Servicio de la Deuda","Cuentas","B-Servicio de la Deuda Pública Interna","Detalle Programas","A-Principal")/1000000000</f>
        <v>1.099</v>
      </c>
      <c r="D23" s="28">
        <f>+GETPIVOTDATA("Suma de Compromisos",'[1]CUA3.TD'!$A$9,"Tipo","2Servicio de la Deuda","Cuentas","B-Servicio de la Deuda Pública Interna","Detalle Programas","A-Principal")/1000000000</f>
        <v>0</v>
      </c>
      <c r="E23" s="28">
        <f>+GETPIVOTDATA("Suma de Obligación",'[1]CUA3.TD'!$A$9,"Tipo","2Servicio de la Deuda","Cuentas","B-Servicio de la Deuda Pública Interna","Detalle Programas","A-Principal")/1000000000</f>
        <v>0</v>
      </c>
      <c r="F23" s="28">
        <f>+GETPIVOTDATA("Suma de Pago",'[1]CUA3.TD'!$A$9,"Tipo","2Servicio de la Deuda","Cuentas","B-Servicio de la Deuda Pública Interna","Detalle Programas","A-Principal")/1000000000</f>
        <v>0</v>
      </c>
      <c r="G23" s="29">
        <f t="shared" si="5"/>
        <v>1.099</v>
      </c>
      <c r="H23" s="30">
        <f t="shared" si="0"/>
        <v>0</v>
      </c>
      <c r="I23" s="30">
        <f t="shared" si="1"/>
        <v>0</v>
      </c>
      <c r="J23" s="30">
        <f t="shared" si="2"/>
        <v>0</v>
      </c>
      <c r="K23" s="30">
        <f t="shared" si="3"/>
        <v>0</v>
      </c>
      <c r="L23" s="30">
        <f t="shared" si="3"/>
        <v>0</v>
      </c>
      <c r="XFC23" s="44"/>
    </row>
    <row r="24" spans="1:12 16383:16383" ht="12" customHeight="1" x14ac:dyDescent="0.2">
      <c r="A24" s="26"/>
      <c r="B24" s="43" t="s">
        <v>40</v>
      </c>
      <c r="C24" s="28">
        <f>+GETPIVOTDATA("Suma de Apropiacion Vigente",'[1]CUA3.TD'!$A$9,"Tipo","2Servicio de la Deuda","Cuentas","B-Servicio de la Deuda Pública Interna","Detalle Programas","B-Intereses")/1000000000</f>
        <v>6.6000000000000003E-2</v>
      </c>
      <c r="D24" s="28">
        <f>+GETPIVOTDATA("Suma de Compromisos",'[1]CUA3.TD'!$A$9,"Tipo","2Servicio de la Deuda","Cuentas","B-Servicio de la Deuda Pública Interna","Detalle Programas","B-Intereses")/1000000000</f>
        <v>0</v>
      </c>
      <c r="E24" s="28">
        <f>+GETPIVOTDATA("Suma de Obligación",'[1]CUA3.TD'!$A$9,"Tipo","2Servicio de la Deuda","Cuentas","B-Servicio de la Deuda Pública Interna","Detalle Programas","B-Intereses")/1000000000</f>
        <v>0</v>
      </c>
      <c r="F24" s="28">
        <f>+GETPIVOTDATA("Suma de Pago",'[1]CUA3.TD'!$A$9,"Tipo","2Servicio de la Deuda","Cuentas","B-Servicio de la Deuda Pública Interna","Detalle Programas","B-Intereses")/1000000000</f>
        <v>0</v>
      </c>
      <c r="G24" s="29">
        <f t="shared" si="5"/>
        <v>6.6000000000000003E-2</v>
      </c>
      <c r="H24" s="30">
        <f t="shared" si="0"/>
        <v>0</v>
      </c>
      <c r="I24" s="30">
        <f t="shared" si="1"/>
        <v>0</v>
      </c>
      <c r="J24" s="30">
        <f t="shared" si="2"/>
        <v>0</v>
      </c>
      <c r="K24" s="30">
        <f t="shared" si="3"/>
        <v>0</v>
      </c>
      <c r="L24" s="30">
        <f t="shared" si="3"/>
        <v>0</v>
      </c>
    </row>
    <row r="25" spans="1:12 16383:16383" ht="11.25" customHeight="1" x14ac:dyDescent="0.2">
      <c r="A25" s="21" t="s">
        <v>43</v>
      </c>
      <c r="B25" s="21" t="s">
        <v>44</v>
      </c>
      <c r="C25" s="23">
        <f>+GETPIVOTDATA("Suma de Apropiacion Vigente",'[1]CUA3.TD'!$A$9,"Tipo","3Inversión","Cuentas","A-Inversión")/1000000000</f>
        <v>9127.8579131000006</v>
      </c>
      <c r="D25" s="23">
        <f>+GETPIVOTDATA("Suma de Compromisos",'[1]CUA3.TD'!$A$9,"Tipo","3Inversión","Cuentas","A-Inversión")/1000000000</f>
        <v>2340.9423837025402</v>
      </c>
      <c r="E25" s="23">
        <f>+GETPIVOTDATA("Suma de Obligación",'[1]CUA3.TD'!$A$9,"Tipo","3Inversión","Cuentas","A-Inversión")/1000000000</f>
        <v>52.234586963869994</v>
      </c>
      <c r="F25" s="23">
        <f>+GETPIVOTDATA("Suma de Obligación",'[1]CUA3.TD'!$A$9,"Tipo","3Inversión","Cuentas","A-Inversión")/1000000000</f>
        <v>52.234586963869994</v>
      </c>
      <c r="G25" s="24">
        <f>+C25-D25</f>
        <v>6786.91552939746</v>
      </c>
      <c r="H25" s="25">
        <f>IFERROR(IF(D25&gt;0,+D25/C25*100,0),0)</f>
        <v>25.646130844597142</v>
      </c>
      <c r="I25" s="25">
        <f>IFERROR(IF(E25&gt;0,+E25/C25*100,0),0)</f>
        <v>0.57225460191382516</v>
      </c>
      <c r="J25" s="25">
        <f>IFERROR(IF(F25&gt;0,+F25/C25*100,0),0)</f>
        <v>0.57225460191382516</v>
      </c>
      <c r="K25" s="25">
        <f t="shared" ref="K25:L27" si="6">IFERROR(IF(E25&gt;0,+E25/D25*100,0),0)</f>
        <v>2.2313486793832755</v>
      </c>
      <c r="L25" s="25">
        <f t="shared" si="6"/>
        <v>100</v>
      </c>
    </row>
    <row r="26" spans="1:12 16383:16383" ht="11.25" customHeight="1" x14ac:dyDescent="0.2">
      <c r="A26" s="45" t="s">
        <v>45</v>
      </c>
      <c r="B26" s="45" t="s">
        <v>46</v>
      </c>
      <c r="C26" s="46">
        <f>+C9+C17+C25</f>
        <v>16483.215685772</v>
      </c>
      <c r="D26" s="47">
        <f>+D9+D17+D25</f>
        <v>4149.70085872863</v>
      </c>
      <c r="E26" s="46">
        <f>+E9+E17+E25</f>
        <v>302.23772819325001</v>
      </c>
      <c r="F26" s="48">
        <f>+F9+F17+F25</f>
        <v>254.98420956489997</v>
      </c>
      <c r="G26" s="49">
        <f>+G9+G17+G25</f>
        <v>12333.514827043371</v>
      </c>
      <c r="H26" s="50">
        <f>IFERROR(IF(D26&gt;0,+D26/C26*100,0),0)</f>
        <v>25.175311285349334</v>
      </c>
      <c r="I26" s="50">
        <f>IFERROR(IF(E26&gt;0,+E26/C26*100,0),0)</f>
        <v>1.8336090114633146</v>
      </c>
      <c r="J26" s="50">
        <f>IFERROR(IF(F26&gt;0,+F26/C26*100,0),0)</f>
        <v>1.5469324337301338</v>
      </c>
      <c r="K26" s="50">
        <f t="shared" si="6"/>
        <v>7.2833618249255796</v>
      </c>
      <c r="L26" s="50">
        <f t="shared" si="6"/>
        <v>84.365446726049939</v>
      </c>
    </row>
    <row r="27" spans="1:12 16383:16383" ht="11.25" customHeight="1" x14ac:dyDescent="0.2">
      <c r="A27" s="51" t="s">
        <v>47</v>
      </c>
      <c r="B27" s="51" t="s">
        <v>48</v>
      </c>
      <c r="C27" s="52">
        <f>+C26-C17</f>
        <v>16482.050685771999</v>
      </c>
      <c r="D27" s="53">
        <f>+D26-D17</f>
        <v>4149.70085872863</v>
      </c>
      <c r="E27" s="52">
        <f>+E26-E17</f>
        <v>302.23772819325001</v>
      </c>
      <c r="F27" s="54">
        <f>+F26-F17</f>
        <v>254.98420956489997</v>
      </c>
      <c r="G27" s="55">
        <f>+G26-G17</f>
        <v>12332.34982704337</v>
      </c>
      <c r="H27" s="56">
        <f>IFERROR(IF(D27&gt;0,+D27/C27*100,0),0)</f>
        <v>25.177090750672349</v>
      </c>
      <c r="I27" s="56">
        <f>IFERROR(IF(E27&gt;0,+E27/C27*100,0),0)</f>
        <v>1.8337386163613387</v>
      </c>
      <c r="J27" s="56">
        <f>IFERROR(IF(F27&gt;0,+F27/C27*100,0),0)</f>
        <v>1.5470417754813306</v>
      </c>
      <c r="K27" s="56">
        <f t="shared" si="6"/>
        <v>7.2833618249255796</v>
      </c>
      <c r="L27" s="56">
        <f t="shared" si="6"/>
        <v>84.365446726049939</v>
      </c>
    </row>
    <row r="28" spans="1:12 16383:16383" ht="12" customHeight="1" x14ac:dyDescent="0.2">
      <c r="A28" s="57" t="s">
        <v>49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 16383:16383" ht="11.25" customHeight="1" x14ac:dyDescent="0.2"/>
    <row r="30" spans="1:12 16383:16383" ht="11.25" customHeight="1" x14ac:dyDescent="0.2"/>
    <row r="31" spans="1:12 16383:16383" ht="11.25" customHeight="1" x14ac:dyDescent="0.2"/>
    <row r="32" spans="1:12 16383:16383" ht="11.25" customHeight="1" x14ac:dyDescent="0.2"/>
    <row r="33" spans="3:3" ht="11.25" customHeight="1" x14ac:dyDescent="0.2"/>
    <row r="34" spans="3:3" ht="11.25" customHeight="1" x14ac:dyDescent="0.2">
      <c r="C34" s="58"/>
    </row>
    <row r="35" spans="3:3" ht="11.25" hidden="1" customHeight="1" x14ac:dyDescent="0.2">
      <c r="C35" s="59"/>
    </row>
  </sheetData>
  <mergeCells count="12">
    <mergeCell ref="H6:L6"/>
    <mergeCell ref="P16:R16"/>
    <mergeCell ref="A1:L1"/>
    <mergeCell ref="A2:L2"/>
    <mergeCell ref="A3:L3"/>
    <mergeCell ref="A4:L4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2020-02-17T21:12:37Z</cp:lastPrinted>
  <dcterms:created xsi:type="dcterms:W3CDTF">2020-02-17T21:12:00Z</dcterms:created>
  <dcterms:modified xsi:type="dcterms:W3CDTF">2020-02-17T21:13:04Z</dcterms:modified>
</cp:coreProperties>
</file>