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Julio\"/>
    </mc:Choice>
  </mc:AlternateContent>
  <bookViews>
    <workbookView xWindow="0" yWindow="0" windowWidth="20490" windowHeight="6720"/>
  </bookViews>
  <sheets>
    <sheet name="CUA8" sheetId="1" r:id="rId1"/>
  </sheets>
  <externalReferences>
    <externalReference r:id="rId2"/>
  </externalReferences>
  <definedNames>
    <definedName name="_xlnm.Print_Area" localSheetId="0">'CUA8'!$A$1:$G$28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1" l="1"/>
  <c r="D24" i="1"/>
  <c r="D18" i="1"/>
  <c r="D15" i="1"/>
  <c r="D12" i="1"/>
  <c r="D9" i="1"/>
  <c r="C24" i="1"/>
  <c r="C15" i="1"/>
  <c r="C12" i="1"/>
  <c r="D25" i="1"/>
  <c r="D10" i="1"/>
  <c r="C22" i="1"/>
  <c r="C13" i="1"/>
  <c r="C18" i="1"/>
  <c r="C9" i="1"/>
  <c r="D19" i="1"/>
  <c r="C25" i="1"/>
  <c r="C19" i="1"/>
  <c r="C10" i="1"/>
  <c r="D20" i="1"/>
  <c r="D11" i="1"/>
  <c r="C20" i="1"/>
  <c r="C11" i="1"/>
  <c r="D22" i="1"/>
  <c r="D13" i="1"/>
  <c r="D23" i="1"/>
  <c r="D14" i="1"/>
  <c r="C23" i="1"/>
  <c r="C14" i="1"/>
  <c r="F14" i="1" l="1"/>
  <c r="E14" i="1"/>
  <c r="F23" i="1"/>
  <c r="E23" i="1"/>
  <c r="D21" i="1"/>
  <c r="F11" i="1"/>
  <c r="E11" i="1"/>
  <c r="F20" i="1"/>
  <c r="E20" i="1"/>
  <c r="C17" i="1"/>
  <c r="D17" i="1"/>
  <c r="F10" i="1"/>
  <c r="E10" i="1"/>
  <c r="E19" i="1"/>
  <c r="F19" i="1"/>
  <c r="E25" i="1"/>
  <c r="F25" i="1"/>
  <c r="F9" i="1"/>
  <c r="E9" i="1"/>
  <c r="C8" i="1"/>
  <c r="F8" i="1" s="1"/>
  <c r="F18" i="1"/>
  <c r="E18" i="1"/>
  <c r="E13" i="1"/>
  <c r="F13" i="1"/>
  <c r="C21" i="1"/>
  <c r="E22" i="1"/>
  <c r="F22" i="1"/>
  <c r="D27" i="1"/>
  <c r="E12" i="1"/>
  <c r="F12" i="1"/>
  <c r="E15" i="1"/>
  <c r="F15" i="1"/>
  <c r="E24" i="1"/>
  <c r="F24" i="1"/>
  <c r="D8" i="1"/>
  <c r="F17" i="1" l="1"/>
  <c r="E17" i="1"/>
  <c r="E8" i="1"/>
  <c r="D16" i="1"/>
  <c r="D26" i="1" s="1"/>
  <c r="E21" i="1"/>
  <c r="C27" i="1"/>
  <c r="F27" i="1" s="1"/>
  <c r="C16" i="1"/>
  <c r="F21" i="1"/>
  <c r="F16" i="1" l="1"/>
  <c r="E16" i="1"/>
  <c r="E26" i="1" s="1"/>
  <c r="C26" i="1"/>
  <c r="F26" i="1" s="1"/>
  <c r="E27" i="1"/>
</calcChain>
</file>

<file path=xl/sharedStrings.xml><?xml version="1.0" encoding="utf-8"?>
<sst xmlns="http://schemas.openxmlformats.org/spreadsheetml/2006/main" count="39" uniqueCount="36">
  <si>
    <t>CUADRO No. 8</t>
  </si>
  <si>
    <t>Rezago presupuestal del Presupuesto General de la Nación de 2019 ejecutado en 2020</t>
  </si>
  <si>
    <t>Miles de millones de pesos corrientes</t>
  </si>
  <si>
    <t>Concepto</t>
  </si>
  <si>
    <t>Rezago</t>
  </si>
  <si>
    <t>Pago</t>
  </si>
  <si>
    <t>Rezago 
por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</si>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</sst>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_);_(* \(#,##0\);_(* &quot;-&quot;??_);_(@_)"/>
    <numFmt numFmtId="166" formatCode="_(* #,##0.00_);_(* \(#,##0.00\);_(* &quot;-&quot;??_);_(@_)"/>
    <numFmt numFmtId="167" formatCode="_-* #,##0.0_-;\-* #,##0.0_-;_-* &quot;-&quot;_-;_-@_-"/>
    <numFmt numFmtId="168" formatCode="_-* #,##0.00_-;\-* #,##0.00_-;_-* &quot;-&quot;_-;_-@_-"/>
    <numFmt numFmtId="169" formatCode="_-* #,##0.0_-;\-* #,##0.0_-;_-* &quot;-&quot;?_-;_-@_-"/>
    <numFmt numFmtId="170" formatCode="[$-2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7" fillId="0" borderId="0"/>
  </cellStyleXfs>
  <cellXfs count="42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/>
    </xf>
    <xf numFmtId="165" fontId="6" fillId="2" borderId="0" xfId="1" applyNumberFormat="1" applyFont="1" applyFill="1" applyBorder="1" applyAlignment="1" applyProtection="1">
      <alignment horizontal="center" vertical="top"/>
    </xf>
    <xf numFmtId="164" fontId="6" fillId="2" borderId="0" xfId="1" applyNumberFormat="1" applyFont="1" applyFill="1" applyBorder="1" applyAlignment="1" applyProtection="1">
      <alignment horizontal="center" vertical="top" wrapText="1"/>
    </xf>
    <xf numFmtId="164" fontId="6" fillId="2" borderId="0" xfId="1" applyNumberFormat="1" applyFont="1" applyFill="1" applyBorder="1" applyAlignment="1" applyProtection="1">
      <alignment horizontal="center"/>
    </xf>
    <xf numFmtId="165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 applyProtection="1">
      <alignment horizontal="center"/>
    </xf>
    <xf numFmtId="164" fontId="6" fillId="2" borderId="0" xfId="1" quotePrefix="1" applyNumberFormat="1" applyFont="1" applyFill="1" applyBorder="1" applyAlignment="1">
      <alignment horizontal="center"/>
    </xf>
    <xf numFmtId="164" fontId="2" fillId="3" borderId="0" xfId="1" applyNumberFormat="1" applyFont="1" applyFill="1" applyBorder="1"/>
    <xf numFmtId="41" fontId="2" fillId="3" borderId="0" xfId="2" applyFont="1" applyFill="1" applyBorder="1"/>
    <xf numFmtId="164" fontId="4" fillId="0" borderId="0" xfId="1" applyNumberFormat="1" applyFont="1" applyFill="1" applyBorder="1"/>
    <xf numFmtId="164" fontId="4" fillId="0" borderId="0" xfId="3" applyNumberFormat="1" applyFont="1" applyFill="1" applyBorder="1"/>
    <xf numFmtId="41" fontId="4" fillId="0" borderId="0" xfId="2" applyFont="1" applyFill="1" applyBorder="1"/>
    <xf numFmtId="167" fontId="4" fillId="0" borderId="0" xfId="2" applyNumberFormat="1" applyFont="1" applyFill="1" applyBorder="1"/>
    <xf numFmtId="164" fontId="4" fillId="0" borderId="0" xfId="1" applyNumberFormat="1" applyFont="1" applyFill="1" applyBorder="1" applyAlignment="1">
      <alignment vertical="center"/>
    </xf>
    <xf numFmtId="164" fontId="4" fillId="0" borderId="0" xfId="3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top"/>
    </xf>
    <xf numFmtId="168" fontId="4" fillId="0" borderId="0" xfId="2" applyNumberFormat="1" applyFont="1" applyFill="1" applyBorder="1" applyAlignment="1">
      <alignment vertical="top"/>
    </xf>
    <xf numFmtId="164" fontId="4" fillId="0" borderId="0" xfId="1" applyNumberFormat="1" applyFont="1" applyFill="1" applyBorder="1" applyAlignment="1">
      <alignment vertical="top"/>
    </xf>
    <xf numFmtId="0" fontId="3" fillId="0" borderId="0" xfId="0" applyFont="1" applyAlignment="1">
      <alignment vertical="center"/>
    </xf>
    <xf numFmtId="164" fontId="2" fillId="0" borderId="0" xfId="3" applyNumberFormat="1" applyFont="1" applyFill="1" applyBorder="1"/>
    <xf numFmtId="41" fontId="2" fillId="0" borderId="0" xfId="2" applyFont="1" applyFill="1" applyBorder="1"/>
    <xf numFmtId="167" fontId="2" fillId="0" borderId="0" xfId="2" applyNumberFormat="1" applyFont="1" applyFill="1" applyBorder="1"/>
    <xf numFmtId="164" fontId="2" fillId="0" borderId="0" xfId="1" applyNumberFormat="1" applyFont="1" applyFill="1" applyBorder="1"/>
    <xf numFmtId="164" fontId="4" fillId="0" borderId="0" xfId="3" applyNumberFormat="1" applyFont="1" applyFill="1" applyBorder="1" applyAlignment="1">
      <alignment horizontal="left" indent="1"/>
    </xf>
    <xf numFmtId="167" fontId="4" fillId="0" borderId="0" xfId="2" applyNumberFormat="1" applyFont="1" applyFill="1" applyBorder="1" applyAlignment="1">
      <alignment vertical="top"/>
    </xf>
    <xf numFmtId="41" fontId="2" fillId="0" borderId="0" xfId="2" applyFont="1" applyFill="1" applyBorder="1" applyAlignment="1">
      <alignment horizontal="right"/>
    </xf>
    <xf numFmtId="41" fontId="4" fillId="0" borderId="0" xfId="2" applyFont="1" applyFill="1" applyBorder="1" applyAlignment="1">
      <alignment horizontal="right"/>
    </xf>
    <xf numFmtId="164" fontId="6" fillId="2" borderId="1" xfId="1" applyNumberFormat="1" applyFont="1" applyFill="1" applyBorder="1"/>
    <xf numFmtId="41" fontId="6" fillId="2" borderId="1" xfId="2" applyFont="1" applyFill="1" applyBorder="1"/>
    <xf numFmtId="169" fontId="3" fillId="0" borderId="0" xfId="0" applyNumberFormat="1" applyFont="1"/>
    <xf numFmtId="164" fontId="6" fillId="2" borderId="0" xfId="1" applyNumberFormat="1" applyFont="1" applyFill="1" applyBorder="1"/>
    <xf numFmtId="41" fontId="6" fillId="2" borderId="0" xfId="2" applyFont="1" applyFill="1" applyBorder="1"/>
    <xf numFmtId="0" fontId="8" fillId="0" borderId="0" xfId="0" applyFont="1"/>
    <xf numFmtId="170" fontId="4" fillId="0" borderId="0" xfId="4" applyNumberFormat="1" applyFont="1" applyFill="1" applyBorder="1" applyAlignment="1" applyProtection="1">
      <alignment horizontal="left" shrinkToFit="1"/>
    </xf>
    <xf numFmtId="165" fontId="4" fillId="0" borderId="0" xfId="1" applyNumberFormat="1" applyFont="1" applyFill="1" applyBorder="1"/>
    <xf numFmtId="164" fontId="4" fillId="0" borderId="0" xfId="1" applyNumberFormat="1" applyFont="1" applyFill="1"/>
    <xf numFmtId="165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/>
    <cellStyle name="Millares_CIFRAS PAGINA WEB 1995 - 2003" xf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CP\INFORMACION%20PGN\EJECUCION%20PGN\EJECUCI&#211;N%202020\JULIO\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7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Acumulada a julio de 2020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A10" t="str">
            <v>Etiquetas de fila</v>
          </cell>
        </row>
      </sheetData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</sheetPr>
  <dimension ref="A1:XFA31"/>
  <sheetViews>
    <sheetView showGridLines="0" tabSelected="1" workbookViewId="0">
      <selection activeCell="F12" sqref="F12"/>
    </sheetView>
  </sheetViews>
  <sheetFormatPr baseColWidth="10" defaultColWidth="0" defaultRowHeight="11.25" zeroHeight="1" x14ac:dyDescent="0.2"/>
  <cols>
    <col min="1" max="1" width="3.5703125" style="2" customWidth="1"/>
    <col min="2" max="2" width="32" style="2" customWidth="1"/>
    <col min="3" max="3" width="7.85546875" style="2" bestFit="1" customWidth="1"/>
    <col min="4" max="4" width="6.85546875" style="2" bestFit="1" customWidth="1"/>
    <col min="5" max="5" width="8.5703125" style="2" bestFit="1" customWidth="1"/>
    <col min="6" max="6" width="12.140625" style="2" bestFit="1" customWidth="1"/>
    <col min="7" max="8" width="11.42578125" style="2" customWidth="1"/>
    <col min="9" max="16374" width="11.42578125" style="2" hidden="1"/>
    <col min="16375" max="16375" width="16.5703125" style="2" hidden="1"/>
    <col min="16376" max="16380" width="11.42578125" style="2" hidden="1"/>
    <col min="16381" max="16381" width="16.5703125" style="2" hidden="1"/>
    <col min="16382" max="16384" width="11.42578125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2.75" customHeight="1" x14ac:dyDescent="0.2">
      <c r="A2" s="1" t="s">
        <v>1</v>
      </c>
      <c r="B2" s="1"/>
      <c r="C2" s="1"/>
      <c r="D2" s="1"/>
      <c r="E2" s="1"/>
      <c r="F2" s="1"/>
    </row>
    <row r="3" spans="1:6" ht="11.25" customHeight="1" x14ac:dyDescent="0.2">
      <c r="A3" s="1" t="str">
        <f>+[1]CUA1!A3:L3</f>
        <v>Acumulada a julio de 2020</v>
      </c>
      <c r="B3" s="1"/>
      <c r="C3" s="1"/>
      <c r="D3" s="1"/>
      <c r="E3" s="1"/>
      <c r="F3" s="1"/>
    </row>
    <row r="4" spans="1:6" ht="12.75" customHeight="1" x14ac:dyDescent="0.2">
      <c r="A4" s="3" t="s">
        <v>2</v>
      </c>
      <c r="B4" s="3"/>
      <c r="C4" s="3"/>
      <c r="D4" s="3"/>
      <c r="E4" s="3"/>
      <c r="F4" s="3"/>
    </row>
    <row r="5" spans="1:6" ht="11.45" customHeight="1" x14ac:dyDescent="0.2">
      <c r="A5" s="4"/>
      <c r="B5" s="5" t="s">
        <v>3</v>
      </c>
      <c r="C5" s="6" t="s">
        <v>4</v>
      </c>
      <c r="D5" s="6" t="s">
        <v>5</v>
      </c>
      <c r="E5" s="7" t="s">
        <v>6</v>
      </c>
      <c r="F5" s="8" t="s">
        <v>7</v>
      </c>
    </row>
    <row r="6" spans="1:6" ht="11.25" customHeight="1" x14ac:dyDescent="0.2">
      <c r="A6" s="4"/>
      <c r="B6" s="5"/>
      <c r="C6" s="6"/>
      <c r="D6" s="6"/>
      <c r="E6" s="7"/>
      <c r="F6" s="8" t="s">
        <v>8</v>
      </c>
    </row>
    <row r="7" spans="1:6" ht="11.25" customHeight="1" x14ac:dyDescent="0.2">
      <c r="A7" s="4"/>
      <c r="B7" s="8"/>
      <c r="C7" s="9" t="s">
        <v>9</v>
      </c>
      <c r="D7" s="9" t="s">
        <v>10</v>
      </c>
      <c r="E7" s="10" t="s">
        <v>11</v>
      </c>
      <c r="F7" s="11" t="s">
        <v>12</v>
      </c>
    </row>
    <row r="8" spans="1:6" ht="11.25" customHeight="1" x14ac:dyDescent="0.2">
      <c r="A8" s="12" t="s">
        <v>13</v>
      </c>
      <c r="B8" s="12" t="s">
        <v>14</v>
      </c>
      <c r="C8" s="13">
        <f>SUM(C9:C15)</f>
        <v>7998.8687572487788</v>
      </c>
      <c r="D8" s="13">
        <f>SUM(D9:D15)</f>
        <v>7356.3329266167484</v>
      </c>
      <c r="E8" s="13">
        <f>SUM(E9:E15)</f>
        <v>642.53583063203075</v>
      </c>
      <c r="F8" s="12">
        <f t="shared" ref="F8:F24" si="0">IFERROR(IF(C8&gt;0,+(D8/C8)*100,0),0)</f>
        <v>91.967166231478075</v>
      </c>
    </row>
    <row r="9" spans="1:6" ht="11.25" customHeight="1" x14ac:dyDescent="0.2">
      <c r="A9" s="14"/>
      <c r="B9" s="15" t="s">
        <v>15</v>
      </c>
      <c r="C9" s="16">
        <f>+GETPIVOTDATA("Suma de Apropiación vigencias",'[1]CUA8.TD'!$A$10,"Tipo","1Funcionamiento","Cuentas","A-Gastos de Personal")/1000000000</f>
        <v>293.24052735693004</v>
      </c>
      <c r="D9" s="16">
        <f>+GETPIVOTDATA("Suma de Pago",'[1]CUA8.TD'!$A$10,"Tipo","1Funcionamiento","Cuentas","A-Gastos de Personal")/1000000000</f>
        <v>281.44301125759011</v>
      </c>
      <c r="E9" s="16">
        <f>+C9-D9</f>
        <v>11.79751609933993</v>
      </c>
      <c r="F9" s="14">
        <f t="shared" si="0"/>
        <v>95.976846650197132</v>
      </c>
    </row>
    <row r="10" spans="1:6" ht="11.45" customHeight="1" x14ac:dyDescent="0.2">
      <c r="A10" s="14"/>
      <c r="B10" s="15" t="s">
        <v>16</v>
      </c>
      <c r="C10" s="16">
        <f>+GETPIVOTDATA("Suma de Apropiación vigencias",'[1]CUA8.TD'!$A$10,"Tipo","1Funcionamiento","Cuentas","B-Adquisiciones de Bienes y Servicios")/1000000000</f>
        <v>1020.9123321693362</v>
      </c>
      <c r="D10" s="16">
        <f>+GETPIVOTDATA("Suma de Pago",'[1]CUA8.TD'!$A$10,"Tipo","1Funcionamiento","Cuentas","B-Adquisiciones de Bienes y Servicios")/1000000000</f>
        <v>910.59804521019998</v>
      </c>
      <c r="E10" s="16">
        <f t="shared" ref="E10:E15" si="1">(+C10-D10)</f>
        <v>110.31428695913621</v>
      </c>
      <c r="F10" s="14">
        <f t="shared" si="0"/>
        <v>89.194538700034173</v>
      </c>
    </row>
    <row r="11" spans="1:6" ht="11.45" customHeight="1" x14ac:dyDescent="0.2">
      <c r="A11" s="14"/>
      <c r="B11" s="15" t="s">
        <v>17</v>
      </c>
      <c r="C11" s="16">
        <f>+GETPIVOTDATA("Suma de Apropiación vigencias",'[1]CUA8.TD'!$A$10,"Tipo","1Funcionamiento","Cuentas","C-Transferencias")/1000000000</f>
        <v>6420.7412131231731</v>
      </c>
      <c r="D11" s="16">
        <f>+GETPIVOTDATA("Suma de Pago",'[1]CUA8.TD'!$A$10,"Tipo","1Funcionamiento","Cuentas","C-Transferencias")/1000000000</f>
        <v>5920.7591329158786</v>
      </c>
      <c r="E11" s="16">
        <f t="shared" si="1"/>
        <v>499.98208020729453</v>
      </c>
      <c r="F11" s="14">
        <f t="shared" si="0"/>
        <v>92.213016167270609</v>
      </c>
    </row>
    <row r="12" spans="1:6" ht="11.45" customHeight="1" x14ac:dyDescent="0.2">
      <c r="B12" s="15" t="s">
        <v>18</v>
      </c>
      <c r="C12" s="16">
        <f>+GETPIVOTDATA("Suma de Apropiación vigencias",'[1]CUA8.TD'!$A$10,"Tipo","1Funcionamiento","Cuentas","D-Gastos de Comercialización y Producción")/1000000000</f>
        <v>240.91076686358005</v>
      </c>
      <c r="D12" s="16">
        <f>+GETPIVOTDATA("Suma de Pago",'[1]CUA8.TD'!$A$10,"Tipo","1Funcionamiento","Cuentas","D-Gastos de Comercialización y Producción")/1000000000</f>
        <v>221.61698526132002</v>
      </c>
      <c r="E12" s="16">
        <f t="shared" si="1"/>
        <v>19.293781602260026</v>
      </c>
      <c r="F12" s="14">
        <f t="shared" si="0"/>
        <v>91.991316181735669</v>
      </c>
    </row>
    <row r="13" spans="1:6" ht="11.45" customHeight="1" x14ac:dyDescent="0.2">
      <c r="B13" s="15" t="s">
        <v>19</v>
      </c>
      <c r="C13" s="16">
        <f>+GETPIVOTDATA("Suma de Apropiación vigencias",'[1]CUA8.TD'!$A$10,"Tipo","1Funcionamiento","Cuentas","E-Adquisición de Activos Financieros")/1000000000</f>
        <v>3.4244492860000002</v>
      </c>
      <c r="D13" s="16">
        <f>+GETPIVOTDATA("Suma de Pago",'[1]CUA8.TD'!$A$10,"Tipo","1Funcionamiento","Cuentas","E-Adquisición de Activos Financieros")/1000000000</f>
        <v>3.3224492859999999</v>
      </c>
      <c r="E13" s="17">
        <f t="shared" si="1"/>
        <v>0.10200000000000031</v>
      </c>
      <c r="F13" s="14">
        <f t="shared" si="0"/>
        <v>97.021418876985507</v>
      </c>
    </row>
    <row r="14" spans="1:6" ht="11.45" customHeight="1" x14ac:dyDescent="0.2">
      <c r="B14" s="15" t="s">
        <v>20</v>
      </c>
      <c r="C14" s="16">
        <f>+GETPIVOTDATA("Suma de Apropiación vigencias",'[1]CUA8.TD'!$A$10,"Tipo","1Funcionamiento","Cuentas","F-Disminución de Pasivos")/1000000000</f>
        <v>18.339942399639998</v>
      </c>
      <c r="D14" s="16">
        <f>+GETPIVOTDATA("Suma de Pago",'[1]CUA8.TD'!$A$10,"Tipo","1Funcionamiento","Cuentas","F-Disminución de Pasivos")/1000000000</f>
        <v>17.343738764639998</v>
      </c>
      <c r="E14" s="16">
        <f t="shared" si="1"/>
        <v>0.99620363500000053</v>
      </c>
      <c r="F14" s="14">
        <f t="shared" si="0"/>
        <v>94.56812015385853</v>
      </c>
    </row>
    <row r="15" spans="1:6" ht="24" customHeight="1" x14ac:dyDescent="0.2">
      <c r="A15" s="18"/>
      <c r="B15" s="19" t="s">
        <v>21</v>
      </c>
      <c r="C15" s="20">
        <f>+GETPIVOTDATA("Suma de Apropiación vigencias",'[1]CUA8.TD'!$A$10,"Tipo","1Funcionamiento","Cuentas","G-Gastos por Tributos, Multas, Sanciones e Intereses de Mora")/1000000000</f>
        <v>1.2995260501199999</v>
      </c>
      <c r="D15" s="20">
        <f>+GETPIVOTDATA("Suma de Pago",'[1]CUA8.TD'!$A$10,"Tipo","1Funcionamiento","Cuentas","G-Gastos por Tributos, Multas, Sanciones e Intereses de Mora")/1000000000</f>
        <v>1.2495639211199998</v>
      </c>
      <c r="E15" s="21">
        <f t="shared" si="1"/>
        <v>4.9962129000000077E-2</v>
      </c>
      <c r="F15" s="22">
        <f t="shared" si="0"/>
        <v>96.155357640165306</v>
      </c>
    </row>
    <row r="16" spans="1:6" s="23" customFormat="1" x14ac:dyDescent="0.2">
      <c r="A16" s="12" t="s">
        <v>22</v>
      </c>
      <c r="B16" s="12" t="s">
        <v>23</v>
      </c>
      <c r="C16" s="13">
        <f>+C21+C17</f>
        <v>43.453480172180001</v>
      </c>
      <c r="D16" s="13">
        <f>+D21+D17</f>
        <v>39.160635752120001</v>
      </c>
      <c r="E16" s="13">
        <f>+C16-D16</f>
        <v>4.2928444200599998</v>
      </c>
      <c r="F16" s="12">
        <f t="shared" si="0"/>
        <v>90.120827139621412</v>
      </c>
    </row>
    <row r="17" spans="1:7" ht="11.25" customHeight="1" x14ac:dyDescent="0.2">
      <c r="A17" s="14"/>
      <c r="B17" s="24" t="s">
        <v>24</v>
      </c>
      <c r="C17" s="25">
        <f>+C20</f>
        <v>1.0005588009099999</v>
      </c>
      <c r="D17" s="26">
        <f>+D20</f>
        <v>7.22113957E-2</v>
      </c>
      <c r="E17" s="25">
        <f>+C17-D17</f>
        <v>0.92834740520999992</v>
      </c>
      <c r="F17" s="27">
        <f t="shared" si="0"/>
        <v>7.2171066442396317</v>
      </c>
    </row>
    <row r="18" spans="1:7" ht="11.25" hidden="1" customHeight="1" x14ac:dyDescent="0.2">
      <c r="A18" s="14"/>
      <c r="B18" s="28" t="s">
        <v>25</v>
      </c>
      <c r="C18" s="16" t="e">
        <f>+GETPIVOTDATA("Suma de Apropiación vigencias",'[1]CUA8.TD'!$A$10,"Tipo","2Servicio de la Deuda","Cuentas","A-Servicio de la Deuda Pública Externa","Detalle Programas","A-Principal")/1000000000</f>
        <v>#REF!</v>
      </c>
      <c r="D18" s="29" t="e">
        <f>+GETPIVOTDATA("Suma de Pago",'[1]CUA8.TD'!$A$10,"Tipo","2Servicio de la Deuda","Cuentas","A-Servicio de la Deuda Pública Externa","Detalle Programas","A-Principal")/1000000000</f>
        <v>#REF!</v>
      </c>
      <c r="E18" s="16" t="e">
        <f t="shared" ref="E18:E20" si="2">+C18-D18</f>
        <v>#REF!</v>
      </c>
      <c r="F18" s="14">
        <f t="shared" si="0"/>
        <v>0</v>
      </c>
    </row>
    <row r="19" spans="1:7" ht="13.5" hidden="1" customHeight="1" x14ac:dyDescent="0.2">
      <c r="A19" s="14"/>
      <c r="B19" s="28" t="s">
        <v>26</v>
      </c>
      <c r="C19" s="16" t="e">
        <f>+GETPIVOTDATA("Suma de Apropiación vigencias",'[1]CUA8.TD'!$A$10,"Tipo","2Servicio de la Deuda","Cuentas","A-Servicio de la Deuda Pública Externa","Detalle Programas","B-Intereses")/1000000000</f>
        <v>#REF!</v>
      </c>
      <c r="D19" s="29" t="e">
        <f>+GETPIVOTDATA("Suma de Pago",'[1]CUA8.TD'!$A$10,"Tipo","2Servicio de la Deuda","Cuentas","A-Servicio de la Deuda Pública Externa","Detalle Programas","B-Intereses")/1000000000</f>
        <v>#REF!</v>
      </c>
      <c r="E19" s="16" t="e">
        <f t="shared" si="2"/>
        <v>#REF!</v>
      </c>
      <c r="F19" s="14">
        <f t="shared" si="0"/>
        <v>0</v>
      </c>
    </row>
    <row r="20" spans="1:7" ht="12.75" customHeight="1" x14ac:dyDescent="0.2">
      <c r="A20" s="14"/>
      <c r="B20" s="28" t="s">
        <v>27</v>
      </c>
      <c r="C20" s="16">
        <f>+GETPIVOTDATA("Suma de Apropiación vigencias",'[1]CUA8.TD'!$A$10,"Tipo","2Servicio de la Deuda","Cuentas","A-Servicio de la Deuda Pública Externa","Detalle Programas","C-Comisiones Y Otros Gastos")/1000000000</f>
        <v>1.0005588009099999</v>
      </c>
      <c r="D20" s="29">
        <f>+GETPIVOTDATA("Suma de Pago",'[1]CUA8.TD'!$A$10,"Tipo","2Servicio de la Deuda","Cuentas","A-Servicio de la Deuda Pública Externa","Detalle Programas","C-Comisiones Y Otros Gastos")/1000000000</f>
        <v>7.22113957E-2</v>
      </c>
      <c r="E20" s="16">
        <f t="shared" si="2"/>
        <v>0.92834740520999992</v>
      </c>
      <c r="F20" s="14">
        <f t="shared" si="0"/>
        <v>7.2171066442396317</v>
      </c>
    </row>
    <row r="21" spans="1:7" ht="11.25" customHeight="1" x14ac:dyDescent="0.2">
      <c r="A21" s="14"/>
      <c r="B21" s="24" t="s">
        <v>28</v>
      </c>
      <c r="C21" s="25">
        <f>+SUM(C22:C24)</f>
        <v>42.452921371270001</v>
      </c>
      <c r="D21" s="25">
        <f>+SUM(D22:D24)</f>
        <v>39.088424356419999</v>
      </c>
      <c r="E21" s="30">
        <f>+SUM(E22:E24)</f>
        <v>3.3644970148500022</v>
      </c>
      <c r="F21" s="27">
        <f t="shared" si="0"/>
        <v>92.074757387304501</v>
      </c>
    </row>
    <row r="22" spans="1:7" ht="11.25" customHeight="1" x14ac:dyDescent="0.2">
      <c r="A22" s="14"/>
      <c r="B22" s="28" t="s">
        <v>25</v>
      </c>
      <c r="C22" s="16">
        <f>+GETPIVOTDATA("Suma de Apropiación vigencias",'[1]CUA8.TD'!$A$10,"Tipo","2Servicio de la Deuda","Cuentas","B-Servicio de la Deuda Pública Interna","Detalle Programas","A-Principal")/1000000000</f>
        <v>6.4162979392600006</v>
      </c>
      <c r="D22" s="20">
        <f>+GETPIVOTDATA("Suma de Pago",'[1]CUA8.TD'!$A$10,"Tipo","2Servicio de la Deuda","Cuentas","B-Servicio de la Deuda Pública Interna","Detalle Programas","A-Principal")/1000000000</f>
        <v>6.4162979392600006</v>
      </c>
      <c r="E22" s="31">
        <f>+C22-D22</f>
        <v>0</v>
      </c>
      <c r="F22" s="14">
        <f t="shared" si="0"/>
        <v>100</v>
      </c>
    </row>
    <row r="23" spans="1:7" ht="11.25" customHeight="1" x14ac:dyDescent="0.2">
      <c r="A23" s="14"/>
      <c r="B23" s="28" t="s">
        <v>26</v>
      </c>
      <c r="C23" s="17">
        <f>+GETPIVOTDATA("Suma de Apropiación vigencias",'[1]CUA8.TD'!$A$10,"Tipo","2Servicio de la Deuda","Cuentas","B-Servicio de la Deuda Pública Interna","Detalle Programas","B-Intereses")/1000000000</f>
        <v>0.22984615901</v>
      </c>
      <c r="D23" s="29">
        <f>+GETPIVOTDATA("Suma de Pago",'[1]CUA8.TD'!$A$10,"Tipo","2Servicio de la Deuda","Cuentas","B-Servicio de la Deuda Pública Interna","Detalle Programas","B-Intereses")/1000000000</f>
        <v>0.22984615901</v>
      </c>
      <c r="E23" s="31">
        <f>+C23-D23</f>
        <v>0</v>
      </c>
      <c r="F23" s="14">
        <f t="shared" si="0"/>
        <v>100</v>
      </c>
    </row>
    <row r="24" spans="1:7" ht="11.25" customHeight="1" x14ac:dyDescent="0.2">
      <c r="A24" s="14"/>
      <c r="B24" s="28" t="s">
        <v>27</v>
      </c>
      <c r="C24" s="16">
        <f>+GETPIVOTDATA("Suma de Apropiación vigencias",'[1]CUA8.TD'!$A$10,"Tipo","2Servicio de la Deuda","Cuentas","B-Servicio de la Deuda Pública Interna","Detalle Programas","C-Comisiones Y Otros Gastos")/1000000000</f>
        <v>35.806777273000002</v>
      </c>
      <c r="D24" s="20">
        <f>+GETPIVOTDATA("Suma de Pago",'[1]CUA8.TD'!$A$10,"Tipo","2Servicio de la Deuda","Cuentas","B-Servicio de la Deuda Pública Interna","Detalle Programas","C-Comisiones Y Otros Gastos")/1000000000</f>
        <v>32.442280258149999</v>
      </c>
      <c r="E24" s="31">
        <f>+C24-D24</f>
        <v>3.3644970148500022</v>
      </c>
      <c r="F24" s="14">
        <f t="shared" si="0"/>
        <v>90.603742444626562</v>
      </c>
    </row>
    <row r="25" spans="1:7" ht="11.25" customHeight="1" x14ac:dyDescent="0.2">
      <c r="A25" s="12" t="s">
        <v>29</v>
      </c>
      <c r="B25" s="12" t="s">
        <v>30</v>
      </c>
      <c r="C25" s="13">
        <f>+GETPIVOTDATA("Suma de Apropiación vigencias",'[1]CUA8.TD'!$A$10,"Tipo","3Inversión")/1000000000</f>
        <v>8897.8494115923713</v>
      </c>
      <c r="D25" s="13">
        <f>+GETPIVOTDATA("Suma de Pago",'[1]CUA8.TD'!$A$10,"Tipo","3Inversión")/1000000000</f>
        <v>5068.2316047177637</v>
      </c>
      <c r="E25" s="13">
        <f>+C25-D25</f>
        <v>3829.6178068746076</v>
      </c>
      <c r="F25" s="12">
        <f>IFERROR(IF(C25&gt;0,+(D25/C25)*100,0),0)</f>
        <v>56.960186335753527</v>
      </c>
    </row>
    <row r="26" spans="1:7" ht="11.25" customHeight="1" x14ac:dyDescent="0.2">
      <c r="A26" s="32" t="s">
        <v>31</v>
      </c>
      <c r="B26" s="32" t="s">
        <v>32</v>
      </c>
      <c r="C26" s="33">
        <f>+C25+C16+C8</f>
        <v>16940.171649013329</v>
      </c>
      <c r="D26" s="33">
        <f>+D25+D16+D8</f>
        <v>12463.725167086632</v>
      </c>
      <c r="E26" s="33">
        <f>SUM(E8+E16+E25)</f>
        <v>4476.4464819266987</v>
      </c>
      <c r="F26" s="32">
        <f>IFERROR(IF(C26&gt;0,+(D26/C26)*100,0),0)</f>
        <v>73.574963851163659</v>
      </c>
      <c r="G26" s="34"/>
    </row>
    <row r="27" spans="1:7" ht="11.25" customHeight="1" x14ac:dyDescent="0.2">
      <c r="A27" s="35" t="s">
        <v>33</v>
      </c>
      <c r="B27" s="35" t="s">
        <v>34</v>
      </c>
      <c r="C27" s="36">
        <f>+C25+C8</f>
        <v>16896.718168841151</v>
      </c>
      <c r="D27" s="36">
        <f>+D25+D8</f>
        <v>12424.564531334512</v>
      </c>
      <c r="E27" s="36">
        <f>SUM(E8+E25)</f>
        <v>4472.153637506638</v>
      </c>
      <c r="F27" s="35">
        <f>IFERROR(IF(C27&gt;0,+(D27/C27)*100,0),0)</f>
        <v>73.532412668433835</v>
      </c>
    </row>
    <row r="28" spans="1:7" ht="11.25" customHeight="1" x14ac:dyDescent="0.2">
      <c r="A28" s="37" t="s">
        <v>35</v>
      </c>
      <c r="B28" s="38"/>
      <c r="C28" s="38"/>
      <c r="D28" s="38"/>
      <c r="E28" s="38"/>
      <c r="F28" s="38"/>
    </row>
    <row r="29" spans="1:7" ht="12.75" customHeight="1" x14ac:dyDescent="0.2"/>
    <row r="30" spans="1:7" x14ac:dyDescent="0.2">
      <c r="A30" s="14"/>
      <c r="B30" s="14"/>
      <c r="C30" s="39"/>
      <c r="D30" s="39"/>
      <c r="E30" s="39"/>
      <c r="F30" s="40"/>
    </row>
    <row r="31" spans="1:7" hidden="1" x14ac:dyDescent="0.2">
      <c r="F31" s="41"/>
    </row>
  </sheetData>
  <mergeCells count="8"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CUA8</vt:lpstr>
      <vt:lpstr>'CUA8'!Área_de_impresión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2020-08-28T16:11:26Z</cp:lastPrinted>
  <dcterms:created xsi:type="dcterms:W3CDTF">2020-08-28T16:09:27Z</dcterms:created>
  <dcterms:modified xsi:type="dcterms:W3CDTF">2020-08-28T16:12:59Z</dcterms:modified>
</cp:coreProperties>
</file>