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gosto\"/>
    </mc:Choice>
  </mc:AlternateContent>
  <bookViews>
    <workbookView xWindow="0" yWindow="0" windowWidth="20490" windowHeight="6720"/>
  </bookViews>
  <sheets>
    <sheet name="CUA8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D25" i="1"/>
  <c r="D18" i="1"/>
  <c r="D23" i="1"/>
  <c r="D22" i="1"/>
  <c r="D15" i="1"/>
  <c r="D20" i="1"/>
  <c r="D12" i="1"/>
  <c r="D14" i="1"/>
  <c r="C19" i="1"/>
  <c r="C13" i="1"/>
  <c r="C20" i="1"/>
  <c r="D19" i="1"/>
  <c r="D13" i="1"/>
  <c r="D9" i="1"/>
  <c r="D11" i="1"/>
  <c r="D10" i="1"/>
  <c r="C11" i="1"/>
  <c r="C25" i="1"/>
  <c r="C24" i="1"/>
  <c r="C18" i="1"/>
  <c r="C15" i="1"/>
  <c r="C12" i="1"/>
  <c r="C9" i="1"/>
  <c r="D24" i="1"/>
  <c r="C23" i="1"/>
  <c r="C22" i="1"/>
  <c r="C10" i="1"/>
  <c r="C14" i="1"/>
  <c r="D17" i="1" l="1"/>
  <c r="F23" i="1"/>
  <c r="E23" i="1"/>
  <c r="C17" i="1"/>
  <c r="F20" i="1"/>
  <c r="E20" i="1"/>
  <c r="F9" i="1"/>
  <c r="E9" i="1"/>
  <c r="C8" i="1"/>
  <c r="F8" i="1" s="1"/>
  <c r="F12" i="1"/>
  <c r="E12" i="1"/>
  <c r="F15" i="1"/>
  <c r="E15" i="1"/>
  <c r="F18" i="1"/>
  <c r="E18" i="1"/>
  <c r="F24" i="1"/>
  <c r="E24" i="1"/>
  <c r="F11" i="1"/>
  <c r="E11" i="1"/>
  <c r="D8" i="1"/>
  <c r="F14" i="1"/>
  <c r="E14" i="1"/>
  <c r="E10" i="1"/>
  <c r="F10" i="1"/>
  <c r="F13" i="1"/>
  <c r="E13" i="1"/>
  <c r="E19" i="1"/>
  <c r="F19" i="1"/>
  <c r="C21" i="1"/>
  <c r="E22" i="1"/>
  <c r="F22" i="1"/>
  <c r="E25" i="1"/>
  <c r="C27" i="1"/>
  <c r="F25" i="1"/>
  <c r="D21" i="1"/>
  <c r="D27" i="1"/>
  <c r="F17" i="1" l="1"/>
  <c r="E17" i="1"/>
  <c r="D16" i="1"/>
  <c r="D26" i="1" s="1"/>
  <c r="E8" i="1"/>
  <c r="F27" i="1"/>
  <c r="E21" i="1"/>
  <c r="C16" i="1"/>
  <c r="F21" i="1"/>
  <c r="E27" i="1" l="1"/>
  <c r="F16" i="1"/>
  <c r="E16" i="1"/>
  <c r="E26" i="1" s="1"/>
  <c r="C26" i="1"/>
  <c r="F26" i="1" l="1"/>
</calcChain>
</file>

<file path=xl/sharedStrings.xml><?xml version="1.0" encoding="utf-8"?>
<sst xmlns="http://schemas.openxmlformats.org/spreadsheetml/2006/main" count="39" uniqueCount="36">
  <si>
    <t>CUADRO No. 8</t>
  </si>
  <si>
    <t>Rezago presupuestal del Presupuesto General de la Nación de 2019 ejecutado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</si>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</sst>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_-* #,##0.0_-;\-* #,##0.0_-;_-* &quot;-&quot;?_-;_-@_-"/>
    <numFmt numFmtId="169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/>
  </cellStyleXfs>
  <cellXfs count="41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7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4" fillId="0" borderId="0" xfId="2" applyNumberFormat="1" applyFont="1" applyFill="1" applyBorder="1" applyAlignment="1">
      <alignment vertical="top"/>
    </xf>
    <xf numFmtId="167" fontId="4" fillId="0" borderId="0" xfId="2" applyNumberFormat="1" applyFont="1" applyFill="1" applyBorder="1"/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8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9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CP\INFORMACION%20PGN\EJECUCION%20PGN\EJECUCI&#211;N%202020\AGOSTO\Cuadros%20de%20ejecuci&#243;n%20agos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7"/>
      <sheetName val="Hoja3"/>
      <sheetName val="Hoja4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A3" t="str">
            <v>Acumulada a agosto de 2020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0">
          <cell r="A10" t="str">
            <v>Etiquetas de fila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1"/>
  <sheetViews>
    <sheetView showGridLines="0" tabSelected="1" workbookViewId="0">
      <selection activeCell="G16" sqref="G16"/>
    </sheetView>
  </sheetViews>
  <sheetFormatPr baseColWidth="10" defaultColWidth="0" defaultRowHeight="11.25" zeroHeight="1" x14ac:dyDescent="0.2"/>
  <cols>
    <col min="1" max="1" width="3.5703125" style="1" customWidth="1"/>
    <col min="2" max="2" width="32" style="1" customWidth="1"/>
    <col min="3" max="3" width="7.85546875" style="1" bestFit="1" customWidth="1"/>
    <col min="4" max="4" width="6.85546875" style="1" bestFit="1" customWidth="1"/>
    <col min="5" max="5" width="8.5703125" style="1" bestFit="1" customWidth="1"/>
    <col min="6" max="6" width="12.140625" style="1" bestFit="1" customWidth="1"/>
    <col min="7" max="7" width="11.42578125" style="1" customWidth="1"/>
    <col min="8" max="16374" width="11.42578125" style="1" hidden="1"/>
    <col min="16375" max="16375" width="16.5703125" style="1" hidden="1"/>
    <col min="16376" max="16380" width="11.42578125" style="1" hidden="1"/>
    <col min="16381" max="16381" width="16.5703125" style="1" hidden="1"/>
    <col min="16382" max="16384" width="11.42578125" style="1" hidden="1"/>
  </cols>
  <sheetData>
    <row r="1" spans="1:6" ht="11.25" customHeight="1" x14ac:dyDescent="0.2">
      <c r="A1" s="36" t="s">
        <v>0</v>
      </c>
      <c r="B1" s="36"/>
      <c r="C1" s="36"/>
      <c r="D1" s="36"/>
      <c r="E1" s="36"/>
      <c r="F1" s="36"/>
    </row>
    <row r="2" spans="1:6" ht="12.75" customHeight="1" x14ac:dyDescent="0.2">
      <c r="A2" s="36" t="s">
        <v>1</v>
      </c>
      <c r="B2" s="36"/>
      <c r="C2" s="36"/>
      <c r="D2" s="36"/>
      <c r="E2" s="36"/>
      <c r="F2" s="36"/>
    </row>
    <row r="3" spans="1:6" ht="11.25" customHeight="1" x14ac:dyDescent="0.2">
      <c r="A3" s="36" t="str">
        <f>+[1]CUA1!A3:L3</f>
        <v>Acumulada a agosto de 2020</v>
      </c>
      <c r="B3" s="36"/>
      <c r="C3" s="36"/>
      <c r="D3" s="36"/>
      <c r="E3" s="36"/>
      <c r="F3" s="36"/>
    </row>
    <row r="4" spans="1:6" ht="12.75" customHeight="1" x14ac:dyDescent="0.2">
      <c r="A4" s="37" t="s">
        <v>2</v>
      </c>
      <c r="B4" s="37"/>
      <c r="C4" s="37"/>
      <c r="D4" s="37"/>
      <c r="E4" s="37"/>
      <c r="F4" s="37"/>
    </row>
    <row r="5" spans="1:6" ht="11.45" customHeight="1" x14ac:dyDescent="0.2">
      <c r="A5" s="2"/>
      <c r="B5" s="38" t="s">
        <v>3</v>
      </c>
      <c r="C5" s="39" t="s">
        <v>4</v>
      </c>
      <c r="D5" s="39" t="s">
        <v>5</v>
      </c>
      <c r="E5" s="40" t="s">
        <v>6</v>
      </c>
      <c r="F5" s="3" t="s">
        <v>7</v>
      </c>
    </row>
    <row r="6" spans="1:6" ht="11.25" customHeight="1" x14ac:dyDescent="0.2">
      <c r="A6" s="2"/>
      <c r="B6" s="38"/>
      <c r="C6" s="39"/>
      <c r="D6" s="39"/>
      <c r="E6" s="40"/>
      <c r="F6" s="3" t="s">
        <v>8</v>
      </c>
    </row>
    <row r="7" spans="1:6" ht="11.25" customHeight="1" x14ac:dyDescent="0.2">
      <c r="A7" s="2"/>
      <c r="B7" s="3"/>
      <c r="C7" s="4" t="s">
        <v>9</v>
      </c>
      <c r="D7" s="4" t="s">
        <v>10</v>
      </c>
      <c r="E7" s="5" t="s">
        <v>11</v>
      </c>
      <c r="F7" s="6" t="s">
        <v>12</v>
      </c>
    </row>
    <row r="8" spans="1:6" ht="11.25" customHeight="1" x14ac:dyDescent="0.2">
      <c r="A8" s="7" t="s">
        <v>13</v>
      </c>
      <c r="B8" s="7" t="s">
        <v>14</v>
      </c>
      <c r="C8" s="8">
        <f>SUM(C9:C15)</f>
        <v>7993.6837016974778</v>
      </c>
      <c r="D8" s="8">
        <f>SUM(D9:D15)</f>
        <v>7459.6259194821005</v>
      </c>
      <c r="E8" s="8">
        <f>SUM(E9:E15)</f>
        <v>534.05778221537935</v>
      </c>
      <c r="F8" s="7">
        <f t="shared" ref="F8:F24" si="0">IFERROR(IF(C8&gt;0,+(D8/C8)*100,0),0)</f>
        <v>93.319002825919057</v>
      </c>
    </row>
    <row r="9" spans="1:6" ht="11.25" customHeight="1" x14ac:dyDescent="0.2">
      <c r="A9" s="9"/>
      <c r="B9" s="10" t="s">
        <v>15</v>
      </c>
      <c r="C9" s="11">
        <f>+GETPIVOTDATA("Suma de Apropiación vigencias",'[1]CUA8.TD'!$A$10,"Tipo","1Funcionamiento","Cuentas","A-Gastos de Personal")/1000000000</f>
        <v>292.00604652393008</v>
      </c>
      <c r="D9" s="11">
        <f>+GETPIVOTDATA("Suma de Pago",'[1]CUA8.TD'!$A$10,"Tipo","1Funcionamiento","Cuentas","A-Gastos de Personal")/1000000000</f>
        <v>281.9953060725901</v>
      </c>
      <c r="E9" s="11">
        <f>+C9-D9</f>
        <v>10.010740451339984</v>
      </c>
      <c r="F9" s="9">
        <f t="shared" si="0"/>
        <v>96.571735219010407</v>
      </c>
    </row>
    <row r="10" spans="1:6" ht="11.45" customHeight="1" x14ac:dyDescent="0.2">
      <c r="A10" s="9"/>
      <c r="B10" s="10" t="s">
        <v>16</v>
      </c>
      <c r="C10" s="11">
        <f>+GETPIVOTDATA("Suma de Apropiación vigencias",'[1]CUA8.TD'!$A$10,"Tipo","1Funcionamiento","Cuentas","B-Adquisiciones de Bienes y Servicios")/1000000000</f>
        <v>1019.0821910216762</v>
      </c>
      <c r="D10" s="11">
        <f>+GETPIVOTDATA("Suma de Pago",'[1]CUA8.TD'!$A$10,"Tipo","1Funcionamiento","Cuentas","B-Adquisiciones de Bienes y Servicios")/1000000000</f>
        <v>929.14856034871968</v>
      </c>
      <c r="E10" s="11">
        <f t="shared" ref="E10:E15" si="1">(+C10-D10)</f>
        <v>89.933630672956497</v>
      </c>
      <c r="F10" s="9">
        <f t="shared" si="0"/>
        <v>91.175036570623021</v>
      </c>
    </row>
    <row r="11" spans="1:6" ht="11.45" customHeight="1" x14ac:dyDescent="0.2">
      <c r="A11" s="9"/>
      <c r="B11" s="10" t="s">
        <v>17</v>
      </c>
      <c r="C11" s="11">
        <f>+GETPIVOTDATA("Suma de Apropiación vigencias",'[1]CUA8.TD'!$A$10,"Tipo","1Funcionamiento","Cuentas","C-Transferencias")/1000000000</f>
        <v>6419.7654034265324</v>
      </c>
      <c r="D11" s="11">
        <f>+GETPIVOTDATA("Suma de Pago",'[1]CUA8.TD'!$A$10,"Tipo","1Funcionamiento","Cuentas","C-Transferencias")/1000000000</f>
        <v>6003.6559613586096</v>
      </c>
      <c r="E11" s="11">
        <f t="shared" si="1"/>
        <v>416.10944206792283</v>
      </c>
      <c r="F11" s="9">
        <f t="shared" si="0"/>
        <v>93.518307665170667</v>
      </c>
    </row>
    <row r="12" spans="1:6" ht="11.45" customHeight="1" x14ac:dyDescent="0.2">
      <c r="B12" s="10" t="s">
        <v>18</v>
      </c>
      <c r="C12" s="11">
        <f>+GETPIVOTDATA("Suma de Apropiación vigencias",'[1]CUA8.TD'!$A$10,"Tipo","1Funcionamiento","Cuentas","D-Gastos de Comercialización y Producción")/1000000000</f>
        <v>239.76614298958006</v>
      </c>
      <c r="D12" s="11">
        <f>+GETPIVOTDATA("Suma de Pago",'[1]CUA8.TD'!$A$10,"Tipo","1Funcionamiento","Cuentas","D-Gastos de Comercialización y Producción")/1000000000</f>
        <v>222.87465956342007</v>
      </c>
      <c r="E12" s="11">
        <f t="shared" si="1"/>
        <v>16.891483426159994</v>
      </c>
      <c r="F12" s="9">
        <f t="shared" si="0"/>
        <v>92.955017244910138</v>
      </c>
    </row>
    <row r="13" spans="1:6" ht="11.45" customHeight="1" x14ac:dyDescent="0.2">
      <c r="B13" s="10" t="s">
        <v>19</v>
      </c>
      <c r="C13" s="11">
        <f>+GETPIVOTDATA("Suma de Apropiación vigencias",'[1]CUA8.TD'!$A$10,"Tipo","1Funcionamiento","Cuentas","E-Adquisición de Activos Financieros")/1000000000</f>
        <v>3.4244492860000002</v>
      </c>
      <c r="D13" s="11">
        <f>+GETPIVOTDATA("Suma de Pago",'[1]CUA8.TD'!$A$10,"Tipo","1Funcionamiento","Cuentas","E-Adquisición de Activos Financieros")/1000000000</f>
        <v>3.3404492860000001</v>
      </c>
      <c r="E13" s="11">
        <f t="shared" si="1"/>
        <v>8.4000000000000075E-2</v>
      </c>
      <c r="F13" s="9">
        <f t="shared" si="0"/>
        <v>97.547050839870437</v>
      </c>
    </row>
    <row r="14" spans="1:6" ht="11.45" customHeight="1" x14ac:dyDescent="0.2">
      <c r="B14" s="10" t="s">
        <v>20</v>
      </c>
      <c r="C14" s="11">
        <f>+GETPIVOTDATA("Suma de Apropiación vigencias",'[1]CUA8.TD'!$A$10,"Tipo","1Funcionamiento","Cuentas","F-Disminución de Pasivos")/1000000000</f>
        <v>18.339942399639998</v>
      </c>
      <c r="D14" s="11">
        <f>+GETPIVOTDATA("Suma de Pago",'[1]CUA8.TD'!$A$10,"Tipo","1Funcionamiento","Cuentas","F-Disminución de Pasivos")/1000000000</f>
        <v>17.361418931639999</v>
      </c>
      <c r="E14" s="11">
        <f t="shared" si="1"/>
        <v>0.97852346799999879</v>
      </c>
      <c r="F14" s="9">
        <f t="shared" si="0"/>
        <v>94.664522675822553</v>
      </c>
    </row>
    <row r="15" spans="1:6" ht="24" customHeight="1" x14ac:dyDescent="0.2">
      <c r="A15" s="12"/>
      <c r="B15" s="13" t="s">
        <v>21</v>
      </c>
      <c r="C15" s="14">
        <f>+GETPIVOTDATA("Suma de Apropiación vigencias",'[1]CUA8.TD'!$A$10,"Tipo","1Funcionamiento","Cuentas","G-Gastos por Tributos, Multas, Sanciones e Intereses de Mora")/1000000000</f>
        <v>1.2995260501199999</v>
      </c>
      <c r="D15" s="14">
        <f>+GETPIVOTDATA("Suma de Pago",'[1]CUA8.TD'!$A$10,"Tipo","1Funcionamiento","Cuentas","G-Gastos por Tributos, Multas, Sanciones e Intereses de Mora")/1000000000</f>
        <v>1.2495639211199998</v>
      </c>
      <c r="E15" s="14">
        <f t="shared" si="1"/>
        <v>4.9962129000000077E-2</v>
      </c>
      <c r="F15" s="15">
        <f t="shared" si="0"/>
        <v>96.155357640165306</v>
      </c>
    </row>
    <row r="16" spans="1:6" s="16" customFormat="1" x14ac:dyDescent="0.2">
      <c r="A16" s="7" t="s">
        <v>22</v>
      </c>
      <c r="B16" s="7" t="s">
        <v>23</v>
      </c>
      <c r="C16" s="8">
        <f>+C21+C17</f>
        <v>43.453480172180001</v>
      </c>
      <c r="D16" s="8">
        <f>+D21+D17</f>
        <v>39.160635752120001</v>
      </c>
      <c r="E16" s="8">
        <f>+C16-D16</f>
        <v>4.2928444200599998</v>
      </c>
      <c r="F16" s="7">
        <f t="shared" si="0"/>
        <v>90.120827139621412</v>
      </c>
    </row>
    <row r="17" spans="1:7" ht="11.25" customHeight="1" x14ac:dyDescent="0.2">
      <c r="A17" s="9"/>
      <c r="B17" s="17" t="s">
        <v>24</v>
      </c>
      <c r="C17" s="18">
        <f>+C20</f>
        <v>1.0005588009099999</v>
      </c>
      <c r="D17" s="19">
        <f>+D20</f>
        <v>7.22113957E-2</v>
      </c>
      <c r="E17" s="19">
        <f>+C17-D17</f>
        <v>0.92834740520999992</v>
      </c>
      <c r="F17" s="20">
        <f t="shared" si="0"/>
        <v>7.2171066442396317</v>
      </c>
    </row>
    <row r="18" spans="1:7" ht="11.25" hidden="1" customHeight="1" x14ac:dyDescent="0.2">
      <c r="A18" s="9"/>
      <c r="B18" s="21" t="s">
        <v>25</v>
      </c>
      <c r="C18" s="11" t="e">
        <f>+GETPIVOTDATA("Suma de Apropiación vigencias",'[1]CUA8.TD'!$A$10,"Tipo","2Servicio de la Deuda","Cuentas","A-Servicio de la Deuda Pública Externa","Detalle Programas","A-Principal")/1000000000</f>
        <v>#REF!</v>
      </c>
      <c r="D18" s="14" t="e">
        <f>+GETPIVOTDATA("Suma de Pago",'[1]CUA8.TD'!$A$10,"Tipo","2Servicio de la Deuda","Cuentas","A-Servicio de la Deuda Pública Externa","Detalle Programas","A-Principal")/1000000000</f>
        <v>#REF!</v>
      </c>
      <c r="E18" s="11" t="e">
        <f t="shared" ref="E18:E20" si="2">+C18-D18</f>
        <v>#REF!</v>
      </c>
      <c r="F18" s="9">
        <f t="shared" si="0"/>
        <v>0</v>
      </c>
    </row>
    <row r="19" spans="1:7" ht="13.5" hidden="1" customHeight="1" x14ac:dyDescent="0.2">
      <c r="A19" s="9"/>
      <c r="B19" s="21" t="s">
        <v>26</v>
      </c>
      <c r="C19" s="11" t="e">
        <f>+GETPIVOTDATA("Suma de Apropiación vigencias",'[1]CUA8.TD'!$A$10,"Tipo","2Servicio de la Deuda","Cuentas","A-Servicio de la Deuda Pública Externa","Detalle Programas","B-Intereses")/1000000000</f>
        <v>#REF!</v>
      </c>
      <c r="D19" s="14" t="e">
        <f>+GETPIVOTDATA("Suma de Pago",'[1]CUA8.TD'!$A$10,"Tipo","2Servicio de la Deuda","Cuentas","A-Servicio de la Deuda Pública Externa","Detalle Programas","B-Intereses")/1000000000</f>
        <v>#REF!</v>
      </c>
      <c r="E19" s="11" t="e">
        <f t="shared" si="2"/>
        <v>#REF!</v>
      </c>
      <c r="F19" s="9">
        <f t="shared" si="0"/>
        <v>0</v>
      </c>
    </row>
    <row r="20" spans="1:7" ht="12.75" customHeight="1" x14ac:dyDescent="0.2">
      <c r="A20" s="9"/>
      <c r="B20" s="21" t="s">
        <v>27</v>
      </c>
      <c r="C20" s="11">
        <f>+GETPIVOTDATA("Suma de Apropiación vigencias",'[1]CUA8.TD'!$A$10,"Tipo","2Servicio de la Deuda","Cuentas","A-Servicio de la Deuda Pública Externa","Detalle Programas","C-Comisiones Y Otros Gastos")/1000000000</f>
        <v>1.0005588009099999</v>
      </c>
      <c r="D20" s="22">
        <f>+GETPIVOTDATA("Suma de Pago",'[1]CUA8.TD'!$A$10,"Tipo","2Servicio de la Deuda","Cuentas","A-Servicio de la Deuda Pública Externa","Detalle Programas","C-Comisiones Y Otros Gastos")/1000000000</f>
        <v>7.22113957E-2</v>
      </c>
      <c r="E20" s="23">
        <f t="shared" si="2"/>
        <v>0.92834740520999992</v>
      </c>
      <c r="F20" s="9">
        <f t="shared" si="0"/>
        <v>7.2171066442396317</v>
      </c>
    </row>
    <row r="21" spans="1:7" ht="11.25" customHeight="1" x14ac:dyDescent="0.2">
      <c r="A21" s="9"/>
      <c r="B21" s="17" t="s">
        <v>28</v>
      </c>
      <c r="C21" s="18">
        <f>+SUM(C22:C24)</f>
        <v>42.452921371270001</v>
      </c>
      <c r="D21" s="18">
        <f>+SUM(D22:D24)</f>
        <v>39.088424356419999</v>
      </c>
      <c r="E21" s="24">
        <f>+SUM(E22:E24)</f>
        <v>3.3644970148500022</v>
      </c>
      <c r="F21" s="20">
        <f t="shared" si="0"/>
        <v>92.074757387304501</v>
      </c>
    </row>
    <row r="22" spans="1:7" ht="11.25" customHeight="1" x14ac:dyDescent="0.2">
      <c r="A22" s="9"/>
      <c r="B22" s="21" t="s">
        <v>25</v>
      </c>
      <c r="C22" s="11">
        <f>+GETPIVOTDATA("Suma de Apropiación vigencias",'[1]CUA8.TD'!$A$10,"Tipo","2Servicio de la Deuda","Cuentas","B-Servicio de la Deuda Pública Interna","Detalle Programas","A-Principal")/1000000000</f>
        <v>6.4162979392600006</v>
      </c>
      <c r="D22" s="14">
        <f>+GETPIVOTDATA("Suma de Pago",'[1]CUA8.TD'!$A$10,"Tipo","2Servicio de la Deuda","Cuentas","B-Servicio de la Deuda Pública Interna","Detalle Programas","A-Principal")/1000000000</f>
        <v>6.4162979392600006</v>
      </c>
      <c r="E22" s="25">
        <f>+C22-D22</f>
        <v>0</v>
      </c>
      <c r="F22" s="9">
        <f t="shared" si="0"/>
        <v>100</v>
      </c>
    </row>
    <row r="23" spans="1:7" ht="11.25" customHeight="1" x14ac:dyDescent="0.2">
      <c r="A23" s="9"/>
      <c r="B23" s="21" t="s">
        <v>26</v>
      </c>
      <c r="C23" s="23">
        <f>+GETPIVOTDATA("Suma de Apropiación vigencias",'[1]CUA8.TD'!$A$10,"Tipo","2Servicio de la Deuda","Cuentas","B-Servicio de la Deuda Pública Interna","Detalle Programas","B-Intereses")/1000000000</f>
        <v>0.22984615901</v>
      </c>
      <c r="D23" s="22">
        <f>+GETPIVOTDATA("Suma de Pago",'[1]CUA8.TD'!$A$10,"Tipo","2Servicio de la Deuda","Cuentas","B-Servicio de la Deuda Pública Interna","Detalle Programas","B-Intereses")/1000000000</f>
        <v>0.22984615901</v>
      </c>
      <c r="E23" s="25">
        <f>+C23-D23</f>
        <v>0</v>
      </c>
      <c r="F23" s="9">
        <f t="shared" si="0"/>
        <v>100</v>
      </c>
    </row>
    <row r="24" spans="1:7" ht="11.25" customHeight="1" x14ac:dyDescent="0.2">
      <c r="A24" s="9"/>
      <c r="B24" s="21" t="s">
        <v>27</v>
      </c>
      <c r="C24" s="11">
        <f>+GETPIVOTDATA("Suma de Apropiación vigencias",'[1]CUA8.TD'!$A$10,"Tipo","2Servicio de la Deuda","Cuentas","B-Servicio de la Deuda Pública Interna","Detalle Programas","C-Comisiones Y Otros Gastos")/1000000000</f>
        <v>35.806777273000002</v>
      </c>
      <c r="D24" s="14">
        <f>+GETPIVOTDATA("Suma de Pago",'[1]CUA8.TD'!$A$10,"Tipo","2Servicio de la Deuda","Cuentas","B-Servicio de la Deuda Pública Interna","Detalle Programas","C-Comisiones Y Otros Gastos")/1000000000</f>
        <v>32.442280258149999</v>
      </c>
      <c r="E24" s="25">
        <f>+C24-D24</f>
        <v>3.3644970148500022</v>
      </c>
      <c r="F24" s="9">
        <f t="shared" si="0"/>
        <v>90.603742444626562</v>
      </c>
    </row>
    <row r="25" spans="1:7" ht="11.25" customHeight="1" x14ac:dyDescent="0.2">
      <c r="A25" s="7" t="s">
        <v>29</v>
      </c>
      <c r="B25" s="7" t="s">
        <v>30</v>
      </c>
      <c r="C25" s="8">
        <f>+GETPIVOTDATA("Suma de Apropiación vigencias",'[1]CUA8.TD'!$A$10,"Tipo","3Inversión")/1000000000</f>
        <v>8893.3975267408114</v>
      </c>
      <c r="D25" s="8">
        <f>+GETPIVOTDATA("Suma de Pago",'[1]CUA8.TD'!$A$10,"Tipo","3Inversión")/1000000000</f>
        <v>5253.6271852692134</v>
      </c>
      <c r="E25" s="8">
        <f>+C25-D25</f>
        <v>3639.7703414715979</v>
      </c>
      <c r="F25" s="7">
        <f>IFERROR(IF(C25&gt;0,+(D25/C25)*100,0),0)</f>
        <v>59.073342549599552</v>
      </c>
    </row>
    <row r="26" spans="1:7" ht="11.25" customHeight="1" x14ac:dyDescent="0.2">
      <c r="A26" s="26" t="s">
        <v>31</v>
      </c>
      <c r="B26" s="26" t="s">
        <v>32</v>
      </c>
      <c r="C26" s="27">
        <f>+C25+C16+C8</f>
        <v>16930.53470861047</v>
      </c>
      <c r="D26" s="27">
        <f>+D25+D16+D8</f>
        <v>12752.413740503434</v>
      </c>
      <c r="E26" s="27">
        <f>SUM(E8+E16+E25)</f>
        <v>4178.1209681070377</v>
      </c>
      <c r="F26" s="26">
        <f>IFERROR(IF(C26&gt;0,+(D26/C26)*100,0),0)</f>
        <v>75.321978661535468</v>
      </c>
      <c r="G26" s="28"/>
    </row>
    <row r="27" spans="1:7" ht="11.25" customHeight="1" x14ac:dyDescent="0.2">
      <c r="A27" s="29" t="s">
        <v>33</v>
      </c>
      <c r="B27" s="29" t="s">
        <v>34</v>
      </c>
      <c r="C27" s="30">
        <f>+C25+C8</f>
        <v>16887.081228438288</v>
      </c>
      <c r="D27" s="30">
        <f>+D25+D8</f>
        <v>12713.253104751315</v>
      </c>
      <c r="E27" s="30">
        <f>SUM(E8+E25)</f>
        <v>4173.8281236869771</v>
      </c>
      <c r="F27" s="29">
        <f>IFERROR(IF(C27&gt;0,+(D27/C27)*100,0),0)</f>
        <v>75.283898577700114</v>
      </c>
    </row>
    <row r="28" spans="1:7" ht="11.25" customHeight="1" x14ac:dyDescent="0.2">
      <c r="A28" s="31" t="s">
        <v>35</v>
      </c>
      <c r="B28" s="32"/>
      <c r="C28" s="32"/>
      <c r="D28" s="32"/>
      <c r="E28" s="32"/>
      <c r="F28" s="32"/>
    </row>
    <row r="29" spans="1:7" ht="12.75" customHeight="1" x14ac:dyDescent="0.2"/>
    <row r="30" spans="1:7" hidden="1" x14ac:dyDescent="0.2">
      <c r="A30" s="9"/>
      <c r="B30" s="9"/>
      <c r="C30" s="33"/>
      <c r="D30" s="33"/>
      <c r="E30" s="33"/>
      <c r="F30" s="34"/>
    </row>
    <row r="31" spans="1:7" hidden="1" x14ac:dyDescent="0.2">
      <c r="F31" s="35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2020-10-05T15:51:30Z</dcterms:created>
  <dcterms:modified xsi:type="dcterms:W3CDTF">2020-10-05T15:53:49Z</dcterms:modified>
</cp:coreProperties>
</file>