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3252D108-46C2-4125-843D-1DA55E6B9DEC}" xr6:coauthVersionLast="44" xr6:coauthVersionMax="44" xr10:uidLastSave="{00000000-0000-0000-0000-000000000000}"/>
  <bookViews>
    <workbookView xWindow="-120" yWindow="-120" windowWidth="20730" windowHeight="11160" xr2:uid="{321B46DF-97CA-4B60-AC2C-087D53C603E3}"/>
  </bookViews>
  <sheets>
    <sheet name="CUA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L19" i="1"/>
  <c r="K19" i="1"/>
  <c r="J19" i="1"/>
  <c r="I19" i="1"/>
  <c r="H19" i="1"/>
  <c r="G19" i="1"/>
  <c r="L18" i="1"/>
  <c r="K18" i="1"/>
  <c r="J18" i="1"/>
  <c r="I18" i="1"/>
  <c r="H18" i="1"/>
  <c r="G18" i="1"/>
  <c r="H17" i="1"/>
  <c r="G17" i="1"/>
  <c r="F17" i="1"/>
  <c r="L17" i="1" s="1"/>
  <c r="E17" i="1"/>
  <c r="I17" i="1" s="1"/>
  <c r="D17" i="1"/>
  <c r="C17" i="1"/>
  <c r="A3" i="1"/>
  <c r="C22" i="1"/>
  <c r="E15" i="1"/>
  <c r="C12" i="1"/>
  <c r="E11" i="1"/>
  <c r="F24" i="1"/>
  <c r="D15" i="1"/>
  <c r="D11" i="1"/>
  <c r="C15" i="1"/>
  <c r="C11" i="1"/>
  <c r="F13" i="1"/>
  <c r="D10" i="1"/>
  <c r="F23" i="1"/>
  <c r="C24" i="1"/>
  <c r="E23" i="1"/>
  <c r="C14" i="1"/>
  <c r="E13" i="1"/>
  <c r="C10" i="1"/>
  <c r="E9" i="1"/>
  <c r="F14" i="1"/>
  <c r="E14" i="1"/>
  <c r="E10" i="1"/>
  <c r="D24" i="1"/>
  <c r="D23" i="1"/>
  <c r="F22" i="1"/>
  <c r="D13" i="1"/>
  <c r="F12" i="1"/>
  <c r="D9" i="1"/>
  <c r="D22" i="1"/>
  <c r="D12" i="1"/>
  <c r="F10" i="1"/>
  <c r="E24" i="1"/>
  <c r="D14" i="1"/>
  <c r="C23" i="1"/>
  <c r="E22" i="1"/>
  <c r="C13" i="1"/>
  <c r="E12" i="1"/>
  <c r="C9" i="1"/>
  <c r="F15" i="1"/>
  <c r="F11" i="1"/>
  <c r="F9" i="1"/>
  <c r="J9" i="1" l="1"/>
  <c r="L9" i="1"/>
  <c r="F8" i="1"/>
  <c r="J11" i="1"/>
  <c r="L11" i="1"/>
  <c r="L15" i="1"/>
  <c r="J15" i="1"/>
  <c r="C8" i="1"/>
  <c r="G9" i="1"/>
  <c r="K12" i="1"/>
  <c r="I12" i="1"/>
  <c r="G13" i="1"/>
  <c r="K22" i="1"/>
  <c r="E21" i="1"/>
  <c r="I22" i="1"/>
  <c r="G23" i="1"/>
  <c r="H14" i="1"/>
  <c r="K24" i="1"/>
  <c r="I24" i="1"/>
  <c r="L10" i="1"/>
  <c r="J10" i="1"/>
  <c r="H12" i="1"/>
  <c r="D21" i="1"/>
  <c r="H22" i="1"/>
  <c r="H9" i="1"/>
  <c r="D8" i="1"/>
  <c r="L12" i="1"/>
  <c r="J12" i="1"/>
  <c r="H13" i="1"/>
  <c r="J22" i="1"/>
  <c r="L22" i="1"/>
  <c r="F21" i="1"/>
  <c r="H23" i="1"/>
  <c r="H24" i="1"/>
  <c r="K10" i="1"/>
  <c r="I10" i="1"/>
  <c r="K14" i="1"/>
  <c r="I14" i="1"/>
  <c r="J14" i="1"/>
  <c r="L14" i="1"/>
  <c r="I9" i="1"/>
  <c r="K9" i="1"/>
  <c r="E8" i="1"/>
  <c r="G10" i="1"/>
  <c r="I13" i="1"/>
  <c r="K13" i="1"/>
  <c r="G14" i="1"/>
  <c r="I23" i="1"/>
  <c r="K23" i="1"/>
  <c r="G24" i="1"/>
  <c r="J23" i="1"/>
  <c r="L23" i="1"/>
  <c r="H10" i="1"/>
  <c r="L13" i="1"/>
  <c r="J13" i="1"/>
  <c r="G11" i="1"/>
  <c r="G15" i="1"/>
  <c r="H11" i="1"/>
  <c r="H15" i="1"/>
  <c r="L24" i="1"/>
  <c r="J24" i="1"/>
  <c r="I11" i="1"/>
  <c r="K11" i="1"/>
  <c r="G12" i="1"/>
  <c r="I15" i="1"/>
  <c r="K15" i="1"/>
  <c r="G22" i="1"/>
  <c r="C21" i="1"/>
  <c r="G21" i="1" s="1"/>
  <c r="C16" i="1"/>
  <c r="G16" i="1"/>
  <c r="J17" i="1"/>
  <c r="K17" i="1"/>
  <c r="F16" i="1"/>
  <c r="D25" i="1" l="1"/>
  <c r="H8" i="1"/>
  <c r="L21" i="1"/>
  <c r="J21" i="1"/>
  <c r="C25" i="1"/>
  <c r="C26" i="1" s="1"/>
  <c r="K21" i="1"/>
  <c r="I21" i="1"/>
  <c r="E16" i="1"/>
  <c r="E25" i="1"/>
  <c r="K8" i="1"/>
  <c r="I8" i="1"/>
  <c r="F25" i="1"/>
  <c r="L8" i="1"/>
  <c r="J8" i="1"/>
  <c r="J16" i="1"/>
  <c r="L16" i="1"/>
  <c r="G8" i="1"/>
  <c r="G25" i="1" s="1"/>
  <c r="G26" i="1" s="1"/>
  <c r="D16" i="1"/>
  <c r="H16" i="1" s="1"/>
  <c r="H21" i="1"/>
  <c r="K16" i="1" l="1"/>
  <c r="I16" i="1"/>
  <c r="L25" i="1"/>
  <c r="F26" i="1"/>
  <c r="J25" i="1"/>
  <c r="I25" i="1"/>
  <c r="K25" i="1"/>
  <c r="E26" i="1"/>
  <c r="H25" i="1"/>
  <c r="D26" i="1"/>
  <c r="H26" i="1" s="1"/>
  <c r="K26" i="1" l="1"/>
  <c r="I26" i="1"/>
  <c r="J26" i="1"/>
  <c r="L26" i="1"/>
</calcChain>
</file>

<file path=xl/sharedStrings.xml><?xml version="1.0" encoding="utf-8"?>
<sst xmlns="http://schemas.openxmlformats.org/spreadsheetml/2006/main" count="51" uniqueCount="49">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</sst>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>
      <alignment horizontal="center"/>
    </xf>
    <xf numFmtId="164" fontId="5" fillId="2" borderId="0" xfId="1" applyNumberFormat="1" applyFont="1" applyFill="1"/>
    <xf numFmtId="164" fontId="6" fillId="2" borderId="0" xfId="1" applyNumberFormat="1" applyFont="1" applyFill="1" applyAlignment="1">
      <alignment horizontal="left" vertical="top" wrapText="1"/>
    </xf>
    <xf numFmtId="167" fontId="6" fillId="2" borderId="0" xfId="4" applyNumberFormat="1" applyFont="1" applyFill="1" applyAlignment="1">
      <alignment horizontal="center" vertical="top" wrapText="1"/>
    </xf>
    <xf numFmtId="167" fontId="6" fillId="2" borderId="1" xfId="5" applyNumberFormat="1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top"/>
    </xf>
    <xf numFmtId="169" fontId="6" fillId="2" borderId="0" xfId="6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Continuous"/>
    </xf>
    <xf numFmtId="167" fontId="6" fillId="2" borderId="0" xfId="1" quotePrefix="1" applyNumberFormat="1" applyFont="1" applyFill="1" applyAlignment="1">
      <alignment horizontal="center"/>
    </xf>
    <xf numFmtId="167" fontId="6" fillId="2" borderId="0" xfId="1" quotePrefix="1" applyNumberFormat="1" applyFont="1" applyFill="1" applyAlignment="1">
      <alignment horizontal="center" vertical="center"/>
    </xf>
    <xf numFmtId="167" fontId="6" fillId="2" borderId="0" xfId="1" quotePrefix="1" applyNumberFormat="1" applyFont="1" applyFill="1" applyAlignment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/>
    <xf numFmtId="164" fontId="4" fillId="0" borderId="0" xfId="7" applyNumberFormat="1" applyFont="1"/>
    <xf numFmtId="41" fontId="4" fillId="0" borderId="0" xfId="2" applyFont="1"/>
    <xf numFmtId="41" fontId="4" fillId="0" borderId="1" xfId="2" applyFont="1" applyBorder="1"/>
    <xf numFmtId="170" fontId="4" fillId="0" borderId="0" xfId="2" applyNumberFormat="1" applyFont="1"/>
    <xf numFmtId="164" fontId="4" fillId="0" borderId="0" xfId="1" applyNumberFormat="1" applyFont="1" applyAlignment="1">
      <alignment vertical="top" wrapText="1"/>
    </xf>
    <xf numFmtId="164" fontId="4" fillId="0" borderId="0" xfId="7" applyNumberFormat="1" applyFont="1" applyAlignment="1">
      <alignment vertical="top" wrapText="1"/>
    </xf>
    <xf numFmtId="41" fontId="4" fillId="0" borderId="0" xfId="2" applyFont="1" applyAlignment="1">
      <alignment vertical="top" wrapText="1"/>
    </xf>
    <xf numFmtId="41" fontId="4" fillId="0" borderId="1" xfId="2" applyFont="1" applyBorder="1" applyAlignment="1">
      <alignment vertical="top" wrapText="1"/>
    </xf>
    <xf numFmtId="170" fontId="4" fillId="0" borderId="0" xfId="2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/>
    <xf numFmtId="164" fontId="2" fillId="0" borderId="0" xfId="7" applyNumberFormat="1" applyFont="1"/>
    <xf numFmtId="41" fontId="2" fillId="0" borderId="0" xfId="2" applyFont="1"/>
    <xf numFmtId="41" fontId="2" fillId="0" borderId="1" xfId="2" applyFont="1" applyBorder="1"/>
    <xf numFmtId="170" fontId="2" fillId="0" borderId="0" xfId="2" applyNumberFormat="1" applyFont="1"/>
    <xf numFmtId="164" fontId="4" fillId="0" borderId="0" xfId="7" applyNumberFormat="1" applyFont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/>
    <xf numFmtId="41" fontId="6" fillId="2" borderId="0" xfId="2" applyFont="1" applyFill="1"/>
    <xf numFmtId="41" fontId="6" fillId="2" borderId="0" xfId="2" applyFont="1" applyFill="1" applyAlignment="1">
      <alignment vertical="center"/>
    </xf>
    <xf numFmtId="41" fontId="6" fillId="2" borderId="0" xfId="2" applyFont="1" applyFill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/>
    <xf numFmtId="171" fontId="4" fillId="0" borderId="0" xfId="8" applyFont="1"/>
    <xf numFmtId="10" fontId="3" fillId="0" borderId="0" xfId="3" applyNumberFormat="1" applyFont="1"/>
    <xf numFmtId="172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C3AC9AC1-E67C-4C6B-B5AB-C0E02F8C9C28}"/>
    <cellStyle name="Millares 4 3" xfId="4" xr:uid="{52C19BB8-A999-45D2-8D7D-55326167CAB6}"/>
    <cellStyle name="Millares 7 2" xfId="5" xr:uid="{A8BDCBB0-54C4-4D2F-A297-D5CAE02C6963}"/>
    <cellStyle name="Millares_CIFRAS PAGINA WEB 1995 - 2003" xfId="8" xr:uid="{8DDC9DD8-701D-4AB3-A707-0619790EA436}"/>
    <cellStyle name="Millares_Plano ejecucion principales programas julio 13 - Despues de consejo de ministros" xfId="6" xr:uid="{2045B3C0-A062-4077-B087-A8DFF519287C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/>
      <sheetData sheetId="5"/>
      <sheetData sheetId="6">
        <row r="9">
          <cell r="A9" t="str">
            <v>Etiquetas de fila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C182-BEE3-4CE3-9F1D-E6FD232CD852}">
  <sheetPr codeName="Hoja7">
    <tabColor theme="0"/>
  </sheetPr>
  <dimension ref="A1:XFD34"/>
  <sheetViews>
    <sheetView showGridLines="0" tabSelected="1" workbookViewId="0">
      <selection activeCell="A29" sqref="A29:XFD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tr">
        <f>+[1]CUA1!A3:L3</f>
        <v>Acumulada a marzo de 2020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f>SUM(C9:C15)</f>
        <v>7377.4927726719998</v>
      </c>
      <c r="D8" s="19">
        <f>SUM(D9:D15)</f>
        <v>2815.7352588627095</v>
      </c>
      <c r="E8" s="19">
        <f>SUM(E9:E15)</f>
        <v>1832.7030276446699</v>
      </c>
      <c r="F8" s="19">
        <f>SUM(F9:F15)</f>
        <v>1778.1705441213801</v>
      </c>
      <c r="G8" s="20">
        <f>SUM(G9:G15)</f>
        <v>4561.7575138092907</v>
      </c>
      <c r="H8" s="21">
        <f t="shared" ref="H8:H23" si="0">IFERROR(IF(D8&gt;0,+D8/C8*100,0),0)</f>
        <v>38.166560722266887</v>
      </c>
      <c r="I8" s="21">
        <f t="shared" ref="I8:I23" si="1">IFERROR(IF(E8&gt;0,+E8/C8*100,0),0)</f>
        <v>24.841813934856578</v>
      </c>
      <c r="J8" s="21">
        <f t="shared" ref="J8:J23" si="2">IFERROR(IF(F8&gt;0,+F8/C8*100,0),0)</f>
        <v>24.102640272426289</v>
      </c>
      <c r="K8" s="21">
        <f t="shared" ref="K8:L23" si="3">IFERROR(IF(E8&gt;0,+E8/D8*100,0),0)</f>
        <v>65.087902773391718</v>
      </c>
      <c r="L8" s="21">
        <f t="shared" si="3"/>
        <v>97.024477905000623</v>
      </c>
    </row>
    <row r="9" spans="1:18" ht="11.25" customHeight="1" x14ac:dyDescent="0.2">
      <c r="A9" s="22"/>
      <c r="B9" s="23" t="s">
        <v>28</v>
      </c>
      <c r="C9" s="24">
        <f>+GETPIVOTDATA("Suma de Apropiacion Vigente",'[1]CUA3.TD'!$A$9,"Tipo","1Funcionamiento","Cuentas","A-Gastos de Personal")/1000000000</f>
        <v>1986.88135999</v>
      </c>
      <c r="D9" s="24">
        <f>+GETPIVOTDATA("Suma de Compromisos",'[1]CUA3.TD'!$A$9,"Tipo","1Funcionamiento","Cuentas","A-Gastos de Personal")/1000000000</f>
        <v>404.33635048750006</v>
      </c>
      <c r="E9" s="24">
        <f>+GETPIVOTDATA("Suma de Obligación",'[1]CUA3.TD'!$A$9,"Tipo","1Funcionamiento","Cuentas","A-Gastos de Personal")/1000000000</f>
        <v>380.61507232957007</v>
      </c>
      <c r="F9" s="24">
        <f>+GETPIVOTDATA("Suma de Pago",'[1]CUA3.TD'!$A$9,"Tipo","1Funcionamiento","Cuentas","A-Gastos de Personal")/1000000000</f>
        <v>377.07640152057007</v>
      </c>
      <c r="G9" s="25">
        <f t="shared" ref="G9:G15" si="4">(((+C9-D9)))</f>
        <v>1582.5450095024999</v>
      </c>
      <c r="H9" s="26">
        <f t="shared" si="0"/>
        <v>20.350301665195303</v>
      </c>
      <c r="I9" s="26">
        <f t="shared" si="1"/>
        <v>19.156406617629436</v>
      </c>
      <c r="J9" s="26">
        <f t="shared" si="2"/>
        <v>18.978304850696667</v>
      </c>
      <c r="K9" s="26">
        <f t="shared" si="3"/>
        <v>94.13328083677618</v>
      </c>
      <c r="L9" s="26">
        <f t="shared" si="3"/>
        <v>99.070275702078376</v>
      </c>
    </row>
    <row r="10" spans="1:18" ht="11.25" customHeight="1" x14ac:dyDescent="0.2">
      <c r="A10" s="22"/>
      <c r="B10" s="23" t="s">
        <v>29</v>
      </c>
      <c r="C10" s="24">
        <f>+GETPIVOTDATA("Suma de Apropiacion Vigente",'[1]CUA3.TD'!$A$9,"Tipo","1Funcionamiento","Cuentas","B-Adquisiciones de Bienes y Servicios")/1000000000</f>
        <v>844.57402358599995</v>
      </c>
      <c r="D10" s="24">
        <f>+GETPIVOTDATA("Suma de Compromisos",'[1]CUA3.TD'!$A$9,"Tipo","1Funcionamiento","Cuentas","B-Adquisiciones de Bienes y Servicios")/1000000000</f>
        <v>508.93801401334014</v>
      </c>
      <c r="E10" s="24">
        <f>+GETPIVOTDATA("Suma de Obligación",'[1]CUA3.TD'!$A$9,"Tipo","1Funcionamiento","Cuentas","B-Adquisiciones de Bienes y Servicios")/1000000000</f>
        <v>135.97025705068</v>
      </c>
      <c r="F10" s="24">
        <f>+GETPIVOTDATA("Suma de Pago",'[1]CUA3.TD'!$A$9,"Tipo","1Funcionamiento","Cuentas","B-Adquisiciones de Bienes y Servicios")/1000000000</f>
        <v>133.01203192413001</v>
      </c>
      <c r="G10" s="25">
        <f t="shared" si="4"/>
        <v>335.63600957265982</v>
      </c>
      <c r="H10" s="26">
        <f t="shared" si="0"/>
        <v>60.25972854959786</v>
      </c>
      <c r="I10" s="26">
        <f t="shared" si="1"/>
        <v>16.099270549828205</v>
      </c>
      <c r="J10" s="26">
        <f t="shared" si="2"/>
        <v>15.749008163828032</v>
      </c>
      <c r="K10" s="26">
        <f t="shared" si="3"/>
        <v>26.716467095561857</v>
      </c>
      <c r="L10" s="26">
        <f t="shared" si="3"/>
        <v>97.824358657020568</v>
      </c>
    </row>
    <row r="11" spans="1:18" ht="11.25" customHeight="1" x14ac:dyDescent="0.2">
      <c r="A11" s="22"/>
      <c r="B11" s="23" t="s">
        <v>30</v>
      </c>
      <c r="C11" s="24">
        <f>+GETPIVOTDATA("Suma de Apropiacion Vigente",'[1]CUA3.TD'!$A$9,"Tipo","1Funcionamiento","Cuentas","C-Transferencias")/1000000000</f>
        <v>3084.9222329660001</v>
      </c>
      <c r="D11" s="24">
        <f>+GETPIVOTDATA("Suma de Compromisos",'[1]CUA3.TD'!$A$9,"Tipo","1Funcionamiento","Cuentas","C-Transferencias")/1000000000</f>
        <v>1185.3891650824696</v>
      </c>
      <c r="E11" s="24">
        <f>+GETPIVOTDATA("Suma de Obligación",'[1]CUA3.TD'!$A$9,"Tipo","1Funcionamiento","Cuentas","C-Transferencias")/1000000000</f>
        <v>1117.9106920943198</v>
      </c>
      <c r="F11" s="24">
        <f>+GETPIVOTDATA("Suma de Pago",'[1]CUA3.TD'!$A$9,"Tipo","1Funcionamiento","Cuentas","C-Transferencias")/1000000000</f>
        <v>1113.70413754776</v>
      </c>
      <c r="G11" s="25">
        <f t="shared" si="4"/>
        <v>1899.5330678835305</v>
      </c>
      <c r="H11" s="26">
        <f t="shared" si="0"/>
        <v>38.425252747547432</v>
      </c>
      <c r="I11" s="26">
        <f t="shared" si="1"/>
        <v>36.237888921417117</v>
      </c>
      <c r="J11" s="26">
        <f t="shared" si="2"/>
        <v>36.101530393425463</v>
      </c>
      <c r="K11" s="26">
        <f t="shared" si="3"/>
        <v>94.307483569460899</v>
      </c>
      <c r="L11" s="26">
        <f t="shared" si="3"/>
        <v>99.623712826408422</v>
      </c>
    </row>
    <row r="12" spans="1:18" ht="11.25" customHeight="1" x14ac:dyDescent="0.2">
      <c r="A12" s="22"/>
      <c r="B12" s="23" t="s">
        <v>31</v>
      </c>
      <c r="C12" s="24">
        <f>+GETPIVOTDATA("Suma de Apropiacion Vigente",'[1]CUA3.TD'!$A$9,"Tipo","1Funcionamiento","Cuentas","D-Gastos de Comercialización y Producción")/1000000000</f>
        <v>1275.7269099329999</v>
      </c>
      <c r="D12" s="24">
        <f>+GETPIVOTDATA("Suma de Compromisos",'[1]CUA3.TD'!$A$9,"Tipo","1Funcionamiento","Cuentas","D-Gastos de Comercialización y Producción")/1000000000</f>
        <v>674.0404599315799</v>
      </c>
      <c r="E12" s="24">
        <f>+GETPIVOTDATA("Suma de Obligación",'[1]CUA3.TD'!$A$9,"Tipo","1Funcionamiento","Cuentas","D-Gastos de Comercialización y Producción")/1000000000</f>
        <v>155.33059678289999</v>
      </c>
      <c r="F12" s="24">
        <f>+GETPIVOTDATA("Suma de Pago",'[1]CUA3.TD'!$A$9,"Tipo","1Funcionamiento","Cuentas","D-Gastos de Comercialización y Producción")/1000000000</f>
        <v>113.10917148372</v>
      </c>
      <c r="G12" s="25">
        <f t="shared" si="4"/>
        <v>601.68645000141998</v>
      </c>
      <c r="H12" s="26">
        <f t="shared" si="0"/>
        <v>52.835795395033244</v>
      </c>
      <c r="I12" s="26">
        <f t="shared" si="1"/>
        <v>12.175850142649873</v>
      </c>
      <c r="J12" s="26">
        <f t="shared" si="2"/>
        <v>8.8662526911547559</v>
      </c>
      <c r="K12" s="26">
        <f t="shared" si="3"/>
        <v>23.044699245304532</v>
      </c>
      <c r="L12" s="26">
        <f t="shared" si="3"/>
        <v>72.818346047951295</v>
      </c>
    </row>
    <row r="13" spans="1:18" ht="11.25" customHeight="1" x14ac:dyDescent="0.2">
      <c r="A13" s="22"/>
      <c r="B13" s="23" t="s">
        <v>32</v>
      </c>
      <c r="C13" s="24">
        <f>+GETPIVOTDATA("Suma de Apropiacion Vigente",'[1]CUA3.TD'!$A$9,"Tipo","1Funcionamiento","Cuentas","E-Adquisición de Activos Financieros")/1000000000</f>
        <v>72.360848000000004</v>
      </c>
      <c r="D13" s="24">
        <f>+GETPIVOTDATA("Suma de Compromisos",'[1]CUA3.TD'!$A$9,"Tipo","1Funcionamiento","Cuentas","E-Adquisición de Activos Financieros")/1000000000</f>
        <v>13.175317281989999</v>
      </c>
      <c r="E13" s="24">
        <f>+GETPIVOTDATA("Suma de Obligación",'[1]CUA3.TD'!$A$9,"Tipo","1Funcionamiento","Cuentas","E-Adquisición de Activos Financieros")/1000000000</f>
        <v>13.111162232989999</v>
      </c>
      <c r="F13" s="24">
        <f>+GETPIVOTDATA("Suma de Pago",'[1]CUA3.TD'!$A$9,"Tipo","1Funcionamiento","Cuentas","E-Adquisición de Activos Financieros")/1000000000</f>
        <v>13.111162232989999</v>
      </c>
      <c r="G13" s="25">
        <f t="shared" si="4"/>
        <v>59.185530718010007</v>
      </c>
      <c r="H13" s="26">
        <f t="shared" si="0"/>
        <v>18.207798341431815</v>
      </c>
      <c r="I13" s="26">
        <f t="shared" si="1"/>
        <v>18.119138450381342</v>
      </c>
      <c r="J13" s="26">
        <f t="shared" si="2"/>
        <v>18.119138450381342</v>
      </c>
      <c r="K13" s="26">
        <f t="shared" si="3"/>
        <v>99.513066382942469</v>
      </c>
      <c r="L13" s="26">
        <f t="shared" si="3"/>
        <v>100</v>
      </c>
    </row>
    <row r="14" spans="1:18" ht="11.25" customHeight="1" x14ac:dyDescent="0.2">
      <c r="A14" s="22"/>
      <c r="B14" s="23" t="s">
        <v>33</v>
      </c>
      <c r="C14" s="24">
        <f>+GETPIVOTDATA("Suma de Apropiacion Vigente",'[1]CUA3.TD'!$A$9,"Tipo","1Funcionamiento","Cuentas","F-Disminución de Pasivos")/1000000000</f>
        <v>9.9309999999999992</v>
      </c>
      <c r="D14" s="24">
        <f>+GETPIVOTDATA("Suma de Compromisos",'[1]CUA3.TD'!$A$9,"Tipo","1Funcionamiento","Cuentas","F-Disminución de Pasivos")/1000000000</f>
        <v>0.93279444700000003</v>
      </c>
      <c r="E14" s="24">
        <f>+GETPIVOTDATA("Suma de Obligación",'[1]CUA3.TD'!$A$9,"Tipo","1Funcionamiento","Cuentas","F-Disminución de Pasivos")/1000000000</f>
        <v>0.93279444700000003</v>
      </c>
      <c r="F14" s="24">
        <f>+GETPIVOTDATA("Suma de Pago",'[1]CUA3.TD'!$A$9,"Tipo","1Funcionamiento","Cuentas","F-Disminución de Pasivos")/1000000000</f>
        <v>0.93279444700000003</v>
      </c>
      <c r="G14" s="25">
        <f t="shared" si="4"/>
        <v>8.9982055529999982</v>
      </c>
      <c r="H14" s="26">
        <f t="shared" si="0"/>
        <v>9.3927544758835975</v>
      </c>
      <c r="I14" s="26">
        <f t="shared" si="1"/>
        <v>9.3927544758835975</v>
      </c>
      <c r="J14" s="26">
        <f t="shared" si="2"/>
        <v>9.3927544758835975</v>
      </c>
      <c r="K14" s="26">
        <f t="shared" si="3"/>
        <v>100</v>
      </c>
      <c r="L14" s="26">
        <f t="shared" si="3"/>
        <v>100</v>
      </c>
    </row>
    <row r="15" spans="1:18" s="32" customFormat="1" ht="22.5" x14ac:dyDescent="0.25">
      <c r="A15" s="27"/>
      <c r="B15" s="28" t="s">
        <v>34</v>
      </c>
      <c r="C15" s="29">
        <f>+GETPIVOTDATA("Suma de Apropiacion Vigente",'[1]CUA3.TD'!$A$9,"Tipo","1Funcionamiento","Cuentas","G-Gastos por Tributos, Multas, Sanciones e Intereses de Mora")/1000000000</f>
        <v>103.096398197</v>
      </c>
      <c r="D15" s="29">
        <f>+GETPIVOTDATA("Suma de Compromisos",'[1]CUA3.TD'!$A$9,"Tipo","1Funcionamiento","Cuentas","G-Gastos por Tributos, Multas, Sanciones e Intereses de Mora")/1000000000</f>
        <v>28.923157618829997</v>
      </c>
      <c r="E15" s="29">
        <f>+GETPIVOTDATA("Suma de Obligación",'[1]CUA3.TD'!$A$9,"Tipo","1Funcionamiento","Cuentas","G-Gastos por Tributos, Multas, Sanciones e Intereses de Mora")/1000000000</f>
        <v>28.832452707209999</v>
      </c>
      <c r="F15" s="29">
        <f>+GETPIVOTDATA("Suma de Pago",'[1]CUA3.TD'!$A$9,"Tipo","1Funcionamiento","Cuentas","G-Gastos por Tributos, Multas, Sanciones e Intereses de Mora")/1000000000</f>
        <v>27.22484496521</v>
      </c>
      <c r="G15" s="30">
        <f t="shared" si="4"/>
        <v>74.173240578170009</v>
      </c>
      <c r="H15" s="31">
        <f t="shared" si="0"/>
        <v>28.054479229781311</v>
      </c>
      <c r="I15" s="31">
        <f t="shared" si="1"/>
        <v>27.966498550333441</v>
      </c>
      <c r="J15" s="31">
        <f t="shared" si="2"/>
        <v>26.407173714437498</v>
      </c>
      <c r="K15" s="31">
        <f t="shared" si="3"/>
        <v>99.68639346776942</v>
      </c>
      <c r="L15" s="31">
        <f t="shared" si="3"/>
        <v>94.424311527274298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f>+C17+C21</f>
        <v>1.165</v>
      </c>
      <c r="D16" s="19">
        <f>+D17+D21</f>
        <v>0</v>
      </c>
      <c r="E16" s="19">
        <f>+E17+E21</f>
        <v>0</v>
      </c>
      <c r="F16" s="19">
        <f>+F17+F21</f>
        <v>0</v>
      </c>
      <c r="G16" s="19">
        <f>+G17+G21</f>
        <v>1.165</v>
      </c>
      <c r="H16" s="21">
        <f t="shared" si="0"/>
        <v>0</v>
      </c>
      <c r="I16" s="21">
        <f t="shared" si="1"/>
        <v>0</v>
      </c>
      <c r="J16" s="21">
        <f t="shared" si="2"/>
        <v>0</v>
      </c>
      <c r="K16" s="21">
        <f t="shared" si="3"/>
        <v>0</v>
      </c>
      <c r="L16" s="21">
        <f t="shared" si="3"/>
        <v>0</v>
      </c>
    </row>
    <row r="17" spans="1:12 16383:16383" ht="11.25" hidden="1" customHeight="1" x14ac:dyDescent="0.2">
      <c r="A17" s="34"/>
      <c r="B17" s="35" t="s">
        <v>37</v>
      </c>
      <c r="C17" s="36">
        <f>+C18+C19+C20</f>
        <v>0</v>
      </c>
      <c r="D17" s="36">
        <f>+D18+D19+D20</f>
        <v>0</v>
      </c>
      <c r="E17" s="36">
        <f>+E18+E19+E20</f>
        <v>0</v>
      </c>
      <c r="F17" s="36">
        <f>+F18+F19+F20</f>
        <v>0</v>
      </c>
      <c r="G17" s="37">
        <f>+C17-D17</f>
        <v>0</v>
      </c>
      <c r="H17" s="38">
        <f t="shared" si="0"/>
        <v>0</v>
      </c>
      <c r="I17" s="38">
        <f t="shared" si="1"/>
        <v>0</v>
      </c>
      <c r="J17" s="38">
        <f t="shared" si="2"/>
        <v>0</v>
      </c>
      <c r="K17" s="38">
        <f t="shared" si="3"/>
        <v>0</v>
      </c>
      <c r="L17" s="38">
        <f t="shared" si="3"/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f t="shared" ref="G18:G23" si="5">+C18-D18</f>
        <v>0</v>
      </c>
      <c r="H18" s="26">
        <f t="shared" si="0"/>
        <v>0</v>
      </c>
      <c r="I18" s="26">
        <f t="shared" si="1"/>
        <v>0</v>
      </c>
      <c r="J18" s="26">
        <f t="shared" si="2"/>
        <v>0</v>
      </c>
      <c r="K18" s="26">
        <f t="shared" si="3"/>
        <v>0</v>
      </c>
      <c r="L18" s="26">
        <f t="shared" si="3"/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f t="shared" si="5"/>
        <v>0</v>
      </c>
      <c r="H19" s="26">
        <f>IFERROR(IF(D19&gt;0,+D19/C19*100,0),0)</f>
        <v>0</v>
      </c>
      <c r="I19" s="26">
        <f>IFERROR(IF(E19&gt;0,+E19/C19*100,0),0)</f>
        <v>0</v>
      </c>
      <c r="J19" s="26">
        <f>IFERROR(IF(F19&gt;0,+F19/C19*100,0),0)</f>
        <v>0</v>
      </c>
      <c r="K19" s="26">
        <f t="shared" si="3"/>
        <v>0</v>
      </c>
      <c r="L19" s="26">
        <f t="shared" si="3"/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f t="shared" si="5"/>
        <v>0</v>
      </c>
      <c r="H20" s="26">
        <f t="shared" si="0"/>
        <v>0</v>
      </c>
      <c r="I20" s="26">
        <f t="shared" si="1"/>
        <v>0</v>
      </c>
      <c r="J20" s="26">
        <f t="shared" si="2"/>
        <v>0</v>
      </c>
      <c r="K20" s="26">
        <f t="shared" si="3"/>
        <v>0</v>
      </c>
      <c r="L20" s="26">
        <f t="shared" si="3"/>
        <v>0</v>
      </c>
    </row>
    <row r="21" spans="1:12 16383:16383" ht="11.25" customHeight="1" x14ac:dyDescent="0.2">
      <c r="A21" s="34"/>
      <c r="B21" s="35" t="s">
        <v>41</v>
      </c>
      <c r="C21" s="36">
        <f>SUM(C22:C23)</f>
        <v>1.165</v>
      </c>
      <c r="D21" s="36">
        <f>SUM(D22:D23)</f>
        <v>0</v>
      </c>
      <c r="E21" s="36">
        <f>SUM(E22:E23)</f>
        <v>0</v>
      </c>
      <c r="F21" s="36">
        <f>SUM(F22:F23)</f>
        <v>0</v>
      </c>
      <c r="G21" s="37">
        <f t="shared" si="5"/>
        <v>1.165</v>
      </c>
      <c r="H21" s="38">
        <f t="shared" si="0"/>
        <v>0</v>
      </c>
      <c r="I21" s="38">
        <f t="shared" si="1"/>
        <v>0</v>
      </c>
      <c r="J21" s="38">
        <f t="shared" si="2"/>
        <v>0</v>
      </c>
      <c r="K21" s="38">
        <f t="shared" si="3"/>
        <v>0</v>
      </c>
      <c r="L21" s="38">
        <f t="shared" si="3"/>
        <v>0</v>
      </c>
      <c r="XFC21" s="40"/>
    </row>
    <row r="22" spans="1:12 16383:16383" ht="11.25" customHeight="1" x14ac:dyDescent="0.2">
      <c r="A22" s="22"/>
      <c r="B22" s="39" t="s">
        <v>38</v>
      </c>
      <c r="C22" s="24">
        <f>+GETPIVOTDATA("Suma de Apropiacion Vigente",'[1]CUA3.TD'!$A$9,"Tipo","2Servicio de la Deuda","Cuentas","B-Servicio de la Deuda Pública Interna","Detalle Programas","A-Principal")/1000000000</f>
        <v>1.099</v>
      </c>
      <c r="D22" s="24">
        <f>+GETPIVOTDATA("Suma de Compromisos",'[1]CUA3.TD'!$A$9,"Tipo","2Servicio de la Deuda","Cuentas","B-Servicio de la Deuda Pública Interna","Detalle Programas","A-Principal")/1000000000</f>
        <v>0</v>
      </c>
      <c r="E22" s="24">
        <f>+GETPIVOTDATA("Suma de Obligación",'[1]CUA3.TD'!$A$9,"Tipo","2Servicio de la Deuda","Cuentas","B-Servicio de la Deuda Pública Interna","Detalle Programas","A-Principal")/1000000000</f>
        <v>0</v>
      </c>
      <c r="F22" s="24">
        <f>+GETPIVOTDATA("Suma de Pago",'[1]CUA3.TD'!$A$9,"Tipo","2Servicio de la Deuda","Cuentas","B-Servicio de la Deuda Pública Interna","Detalle Programas","A-Principal")/1000000000</f>
        <v>0</v>
      </c>
      <c r="G22" s="25">
        <f t="shared" si="5"/>
        <v>1.099</v>
      </c>
      <c r="H22" s="26">
        <f t="shared" si="0"/>
        <v>0</v>
      </c>
      <c r="I22" s="26">
        <f t="shared" si="1"/>
        <v>0</v>
      </c>
      <c r="J22" s="26">
        <f t="shared" si="2"/>
        <v>0</v>
      </c>
      <c r="K22" s="26">
        <f t="shared" si="3"/>
        <v>0</v>
      </c>
      <c r="L22" s="26">
        <f t="shared" si="3"/>
        <v>0</v>
      </c>
      <c r="XFC22" s="40"/>
    </row>
    <row r="23" spans="1:12 16383:16383" ht="12" customHeight="1" x14ac:dyDescent="0.2">
      <c r="A23" s="22"/>
      <c r="B23" s="39" t="s">
        <v>39</v>
      </c>
      <c r="C23" s="24">
        <f>+GETPIVOTDATA("Suma de Apropiacion Vigente",'[1]CUA3.TD'!$A$9,"Tipo","2Servicio de la Deuda","Cuentas","B-Servicio de la Deuda Pública Interna","Detalle Programas","B-Intereses")/1000000000</f>
        <v>6.6000000000000003E-2</v>
      </c>
      <c r="D23" s="24">
        <f>+GETPIVOTDATA("Suma de Compromisos",'[1]CUA3.TD'!$A$9,"Tipo","2Servicio de la Deuda","Cuentas","B-Servicio de la Deuda Pública Interna","Detalle Programas","B-Intereses")/1000000000</f>
        <v>0</v>
      </c>
      <c r="E23" s="24">
        <f>+GETPIVOTDATA("Suma de Obligación",'[1]CUA3.TD'!$A$9,"Tipo","2Servicio de la Deuda","Cuentas","B-Servicio de la Deuda Pública Interna","Detalle Programas","B-Intereses")/1000000000</f>
        <v>0</v>
      </c>
      <c r="F23" s="24">
        <f>+GETPIVOTDATA("Suma de Pago",'[1]CUA3.TD'!$A$9,"Tipo","2Servicio de la Deuda","Cuentas","B-Servicio de la Deuda Pública Interna","Detalle Programas","B-Intereses")/1000000000</f>
        <v>0</v>
      </c>
      <c r="G23" s="25">
        <f t="shared" si="5"/>
        <v>6.6000000000000003E-2</v>
      </c>
      <c r="H23" s="26">
        <f t="shared" si="0"/>
        <v>0</v>
      </c>
      <c r="I23" s="26">
        <f t="shared" si="1"/>
        <v>0</v>
      </c>
      <c r="J23" s="26">
        <f t="shared" si="2"/>
        <v>0</v>
      </c>
      <c r="K23" s="26">
        <f t="shared" si="3"/>
        <v>0</v>
      </c>
      <c r="L23" s="26">
        <f t="shared" si="3"/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f>+GETPIVOTDATA("Suma de Apropiacion Vigente",'[1]CUA3.TD'!$A$9,"Tipo","3Inversión","Cuentas","A-Inversión")/1000000000</f>
        <v>9127.8579131000006</v>
      </c>
      <c r="D24" s="19">
        <f>+GETPIVOTDATA("Suma de Compromisos",'[1]CUA3.TD'!$A$9,"Tipo","3Inversión","Cuentas","A-Inversión")/1000000000</f>
        <v>4226.9910932092416</v>
      </c>
      <c r="E24" s="19">
        <f>+GETPIVOTDATA("Suma de Obligación",'[1]CUA3.TD'!$A$9,"Tipo","3Inversión","Cuentas","A-Inversión")/1000000000</f>
        <v>812.88205412149966</v>
      </c>
      <c r="F24" s="19">
        <f>+GETPIVOTDATA("Suma de Pago",'[1]CUA3.TD'!$A$9,"Tipo","3Inversión")/1000000000</f>
        <v>805.79211957990981</v>
      </c>
      <c r="G24" s="20">
        <f>+C24-D24</f>
        <v>4900.866819890759</v>
      </c>
      <c r="H24" s="21">
        <f>IFERROR(IF(D24&gt;0,+D24/C24*100,0),0)</f>
        <v>46.30868636926089</v>
      </c>
      <c r="I24" s="21">
        <f>IFERROR(IF(E24&gt;0,+E24/C24*100,0),0)</f>
        <v>8.9055073146447441</v>
      </c>
      <c r="J24" s="21">
        <f>IFERROR(IF(F24&gt;0,+F24/C24*100,0),0)</f>
        <v>8.8278337289131503</v>
      </c>
      <c r="K24" s="21">
        <f t="shared" ref="K24:L26" si="6">IFERROR(IF(E24&gt;0,+E24/D24*100,0),0)</f>
        <v>19.230749159311298</v>
      </c>
      <c r="L24" s="21">
        <f t="shared" si="6"/>
        <v>99.127802796772031</v>
      </c>
    </row>
    <row r="25" spans="1:12 16383:16383" ht="11.25" customHeight="1" x14ac:dyDescent="0.2">
      <c r="A25" s="41" t="s">
        <v>44</v>
      </c>
      <c r="B25" s="41" t="s">
        <v>45</v>
      </c>
      <c r="C25" s="42">
        <f>+C8+C16+C24</f>
        <v>16506.515685771999</v>
      </c>
      <c r="D25" s="43">
        <f>+D8+D16+D24</f>
        <v>7042.7263520719516</v>
      </c>
      <c r="E25" s="42">
        <f>+E8+E16+E24</f>
        <v>2645.5850817661694</v>
      </c>
      <c r="F25" s="44">
        <f>+F8+F16+F24</f>
        <v>2583.9626637012898</v>
      </c>
      <c r="G25" s="45">
        <f>+G8+G16+G24</f>
        <v>9463.7893337000496</v>
      </c>
      <c r="H25" s="46">
        <f>IFERROR(IF(D25&gt;0,+D25/C25*100,0),0)</f>
        <v>42.666341498966489</v>
      </c>
      <c r="I25" s="46">
        <f>IFERROR(IF(E25&gt;0,+E25/C25*100,0),0)</f>
        <v>16.02751987232875</v>
      </c>
      <c r="J25" s="46">
        <f>IFERROR(IF(F25&gt;0,+F25/C25*100,0),0)</f>
        <v>15.654198092990448</v>
      </c>
      <c r="K25" s="46">
        <f t="shared" si="6"/>
        <v>37.564785986436142</v>
      </c>
      <c r="L25" s="46">
        <f t="shared" si="6"/>
        <v>97.670745178841827</v>
      </c>
    </row>
    <row r="26" spans="1:12 16383:16383" ht="11.25" customHeight="1" x14ac:dyDescent="0.2">
      <c r="A26" s="47" t="s">
        <v>46</v>
      </c>
      <c r="B26" s="47" t="s">
        <v>47</v>
      </c>
      <c r="C26" s="48">
        <f>+C25-C16</f>
        <v>16505.350685771999</v>
      </c>
      <c r="D26" s="49">
        <f>+D25-D16</f>
        <v>7042.7263520719516</v>
      </c>
      <c r="E26" s="48">
        <f>+E25-E16</f>
        <v>2645.5850817661694</v>
      </c>
      <c r="F26" s="50">
        <f>+F25-F16</f>
        <v>2583.9626637012898</v>
      </c>
      <c r="G26" s="51">
        <f>+G25-G16</f>
        <v>9462.6243337000487</v>
      </c>
      <c r="H26" s="52">
        <f>IFERROR(IF(D26&gt;0,+D26/C26*100,0),0)</f>
        <v>42.669353024670649</v>
      </c>
      <c r="I26" s="52">
        <f>IFERROR(IF(E26&gt;0,+E26/C26*100,0),0)</f>
        <v>16.028651145514445</v>
      </c>
      <c r="J26" s="52">
        <f>IFERROR(IF(F26&gt;0,+F26/C26*100,0),0)</f>
        <v>15.655303015940925</v>
      </c>
      <c r="K26" s="52">
        <f t="shared" si="6"/>
        <v>37.564785986436142</v>
      </c>
      <c r="L26" s="52">
        <f t="shared" si="6"/>
        <v>97.670745178841827</v>
      </c>
    </row>
    <row r="27" spans="1:12 16383:16383" ht="12" customHeight="1" x14ac:dyDescent="0.2">
      <c r="A27" s="53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hidden="1" customHeight="1" x14ac:dyDescent="0.2"/>
    <row r="30" spans="1:12 16383:16383" ht="11.25" hidden="1" customHeight="1" x14ac:dyDescent="0.2"/>
    <row r="31" spans="1:12 16383:16383" ht="11.25" hidden="1" customHeight="1" x14ac:dyDescent="0.2"/>
    <row r="32" spans="1:12 16383:16383" ht="11.25" hidden="1" customHeight="1" x14ac:dyDescent="0.2"/>
    <row r="33" spans="3:3" ht="11.25" hidden="1" customHeight="1" x14ac:dyDescent="0.2">
      <c r="C33" s="54"/>
    </row>
    <row r="34" spans="3:3" ht="11.25" hidden="1" customHeight="1" x14ac:dyDescent="0.2">
      <c r="C34" s="55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2020-04-24T17:33:52Z</dcterms:created>
  <dcterms:modified xsi:type="dcterms:W3CDTF">2020-04-24T17:43:19Z</dcterms:modified>
</cp:coreProperties>
</file>